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IDOROVASA\Desktop\2024\Планирование бюджета 2025-2027\"/>
    </mc:Choice>
  </mc:AlternateContent>
  <bookViews>
    <workbookView xWindow="7935" yWindow="390" windowWidth="16380" windowHeight="7890" tabRatio="427" activeTab="2"/>
  </bookViews>
  <sheets>
    <sheet name="Исходные данные" sheetId="1" r:id="rId1"/>
    <sheet name="Расчет КРП" sheetId="2" r:id="rId2"/>
    <sheet name="Расчет дотации" sheetId="4" r:id="rId3"/>
    <sheet name="Лист1" sheetId="5" r:id="rId4"/>
  </sheets>
  <definedNames>
    <definedName name="___xlfn_COUNTIFS">#N/A</definedName>
    <definedName name="__xlfn_COUNTIFS">NA()</definedName>
    <definedName name="_xlnm._FilterDatabase" localSheetId="2" hidden="1">'Расчет дотации'!$A$8:$GO$8</definedName>
    <definedName name="Excel_BuiltIn__FilterDatabase" localSheetId="2">'Расчет дотации'!#REF!</definedName>
    <definedName name="Excel_BuiltIn_Print_Titles" localSheetId="0">'Исходные данные'!$A$6:$HY$9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данные'!$A$6:$HY$9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данные'!$A$1:$H$26</definedName>
    <definedName name="_xlnm.Print_Area" localSheetId="2">'Расчет дотации'!#REF!</definedName>
    <definedName name="_xlnm.Print_Area" localSheetId="1">'Расчет КРП'!$A$1:$G$20</definedName>
  </definedNames>
  <calcPr calcId="152511"/>
</workbook>
</file>

<file path=xl/calcChain.xml><?xml version="1.0" encoding="utf-8"?>
<calcChain xmlns="http://schemas.openxmlformats.org/spreadsheetml/2006/main">
  <c r="F7" i="2" l="1"/>
  <c r="F8" i="2" l="1"/>
  <c r="F9" i="2"/>
  <c r="F10" i="2"/>
  <c r="F11" i="2"/>
  <c r="F12" i="2"/>
  <c r="F13" i="2"/>
  <c r="F14" i="2"/>
  <c r="F15" i="2"/>
  <c r="F16" i="2"/>
  <c r="F17" i="2"/>
  <c r="F18" i="2" l="1"/>
  <c r="F19" i="2"/>
  <c r="C8" i="2" l="1"/>
  <c r="C9" i="2"/>
  <c r="C10" i="2"/>
  <c r="C11" i="2"/>
  <c r="C12" i="2"/>
  <c r="C13" i="2"/>
  <c r="C14" i="2"/>
  <c r="C15" i="2"/>
  <c r="C16" i="2"/>
  <c r="C17" i="2"/>
  <c r="C18" i="2"/>
  <c r="C19" i="2"/>
  <c r="G10" i="2" l="1"/>
  <c r="G11" i="2"/>
  <c r="G14" i="2"/>
  <c r="G15" i="2"/>
  <c r="G13" i="2"/>
  <c r="G8" i="2"/>
  <c r="G12" i="2"/>
  <c r="G16" i="2"/>
  <c r="G9" i="2"/>
  <c r="G17" i="2"/>
  <c r="GM20" i="4" l="1"/>
  <c r="D8" i="2" l="1"/>
  <c r="D9" i="2"/>
  <c r="D10" i="2"/>
  <c r="D11" i="2"/>
  <c r="D12" i="2"/>
  <c r="D13" i="2"/>
  <c r="D14" i="2"/>
  <c r="D15" i="2"/>
  <c r="D16" i="2"/>
  <c r="D17" i="2"/>
  <c r="D18" i="2" l="1"/>
  <c r="D19" i="2"/>
  <c r="F12" i="5" l="1"/>
  <c r="F13" i="5"/>
  <c r="F14" i="5"/>
  <c r="F15" i="5"/>
  <c r="F16" i="5"/>
  <c r="F17" i="5"/>
  <c r="F18" i="5"/>
  <c r="F19" i="5"/>
  <c r="F20" i="5"/>
  <c r="F21" i="5"/>
  <c r="F11" i="5"/>
  <c r="E12" i="5"/>
  <c r="E13" i="5"/>
  <c r="E14" i="5"/>
  <c r="E15" i="5"/>
  <c r="E16" i="5"/>
  <c r="E17" i="5"/>
  <c r="E18" i="5"/>
  <c r="E19" i="5"/>
  <c r="E20" i="5"/>
  <c r="E21" i="5"/>
  <c r="E11" i="5"/>
  <c r="D25" i="5"/>
  <c r="J25" i="5"/>
  <c r="I25" i="5"/>
  <c r="H25" i="5"/>
  <c r="G25" i="5"/>
  <c r="C25" i="5"/>
  <c r="K21" i="5"/>
  <c r="K20" i="5"/>
  <c r="K19" i="5"/>
  <c r="K18" i="5"/>
  <c r="K17" i="5"/>
  <c r="K16" i="5"/>
  <c r="K15" i="5"/>
  <c r="K14" i="5"/>
  <c r="K13" i="5"/>
  <c r="K12" i="5"/>
  <c r="K11" i="5"/>
  <c r="K25" i="5" s="1"/>
  <c r="H11" i="1" l="1"/>
  <c r="G18" i="2" l="1"/>
  <c r="G19" i="2"/>
  <c r="D7" i="2" l="1"/>
  <c r="H12" i="1" l="1"/>
  <c r="H13" i="1"/>
  <c r="H14" i="1"/>
  <c r="H15" i="1"/>
  <c r="E11" i="2" s="1"/>
  <c r="H16" i="1"/>
  <c r="H17" i="1"/>
  <c r="H18" i="1"/>
  <c r="H19" i="1"/>
  <c r="E15" i="2" s="1"/>
  <c r="H20" i="1"/>
  <c r="H21" i="1"/>
  <c r="G25" i="1"/>
  <c r="F25" i="1"/>
  <c r="E25" i="1"/>
  <c r="E14" i="2" l="1"/>
  <c r="E10" i="2"/>
  <c r="E17" i="2"/>
  <c r="E13" i="2"/>
  <c r="E9" i="2"/>
  <c r="E16" i="2"/>
  <c r="E12" i="2"/>
  <c r="E8" i="2"/>
  <c r="C7" i="2"/>
  <c r="E7" i="2"/>
  <c r="G7" i="2" s="1"/>
  <c r="D25" i="1"/>
  <c r="C25" i="1"/>
  <c r="H10" i="4"/>
  <c r="H11" i="4"/>
  <c r="H12" i="4"/>
  <c r="H13" i="4"/>
  <c r="H14" i="4"/>
  <c r="H15" i="4"/>
  <c r="H16" i="4"/>
  <c r="H17" i="4"/>
  <c r="H18" i="4"/>
  <c r="H19" i="4"/>
  <c r="G10" i="4"/>
  <c r="G11" i="4"/>
  <c r="G12" i="4"/>
  <c r="G13" i="4"/>
  <c r="G14" i="4"/>
  <c r="G15" i="4"/>
  <c r="G16" i="4"/>
  <c r="G17" i="4"/>
  <c r="G18" i="4"/>
  <c r="G19" i="4"/>
  <c r="D20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20" i="4" s="1"/>
  <c r="H9" i="4"/>
  <c r="B6" i="2"/>
  <c r="C6" i="2" s="1"/>
  <c r="D6" i="2" s="1"/>
  <c r="L9" i="4" l="1"/>
  <c r="H20" i="4"/>
  <c r="J20" i="4" s="1"/>
  <c r="L7" i="4"/>
  <c r="F20" i="4"/>
  <c r="E6" i="2"/>
  <c r="F6" i="2" s="1"/>
  <c r="G6" i="2" s="1"/>
  <c r="M7" i="4" l="1"/>
  <c r="N7" i="4" s="1"/>
  <c r="O7" i="4" s="1"/>
  <c r="P7" i="4" s="1"/>
  <c r="Q7" i="4" s="1"/>
  <c r="R7" i="4" s="1"/>
  <c r="S7" i="4" s="1"/>
  <c r="L18" i="4"/>
  <c r="L11" i="4"/>
  <c r="L15" i="4"/>
  <c r="L13" i="4"/>
  <c r="L10" i="4"/>
  <c r="L19" i="4"/>
  <c r="L12" i="4"/>
  <c r="L17" i="4"/>
  <c r="L14" i="4"/>
  <c r="L16" i="4"/>
  <c r="L20" i="4" l="1"/>
  <c r="T7" i="4"/>
  <c r="U7" i="4" s="1"/>
  <c r="V7" i="4" s="1"/>
  <c r="W7" i="4" s="1"/>
  <c r="X7" i="4" s="1"/>
  <c r="Y7" i="4" s="1"/>
  <c r="Z7" i="4" l="1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AL7" i="4" l="1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AX7" i="4" l="1"/>
  <c r="AY7" i="4" s="1"/>
  <c r="AZ7" i="4" s="1"/>
  <c r="BA7" i="4" s="1"/>
  <c r="BB7" i="4" s="1"/>
  <c r="BC7" i="4" s="1"/>
  <c r="BD7" i="4" l="1"/>
  <c r="BE7" i="4" s="1"/>
  <c r="BF7" i="4" s="1"/>
  <c r="BG7" i="4" s="1"/>
  <c r="BH7" i="4" s="1"/>
  <c r="BI7" i="4" s="1"/>
  <c r="BJ7" i="4" l="1"/>
  <c r="BK7" i="4" s="1"/>
  <c r="BL7" i="4" s="1"/>
  <c r="BM7" i="4" s="1"/>
  <c r="BN7" i="4" s="1"/>
  <c r="BO7" i="4" s="1"/>
  <c r="BP7" i="4" l="1"/>
  <c r="BQ7" i="4" s="1"/>
  <c r="BR7" i="4" s="1"/>
  <c r="BS7" i="4" s="1"/>
  <c r="BT7" i="4" l="1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H25" i="1" l="1"/>
  <c r="I19" i="4"/>
  <c r="M19" i="4" s="1"/>
  <c r="I10" i="4"/>
  <c r="M10" i="4" s="1"/>
  <c r="I17" i="4"/>
  <c r="I13" i="4"/>
  <c r="I15" i="4"/>
  <c r="I18" i="4"/>
  <c r="I11" i="4"/>
  <c r="I16" i="4"/>
  <c r="I12" i="4"/>
  <c r="I14" i="4"/>
  <c r="I9" i="4"/>
  <c r="K9" i="4" s="1"/>
  <c r="K19" i="4" l="1"/>
  <c r="M9" i="4"/>
  <c r="M16" i="4"/>
  <c r="K16" i="4"/>
  <c r="M11" i="4"/>
  <c r="K11" i="4"/>
  <c r="M18" i="4"/>
  <c r="K18" i="4"/>
  <c r="M17" i="4"/>
  <c r="K17" i="4"/>
  <c r="M15" i="4"/>
  <c r="K15" i="4"/>
  <c r="M14" i="4"/>
  <c r="K14" i="4"/>
  <c r="M12" i="4"/>
  <c r="K12" i="4"/>
  <c r="M13" i="4"/>
  <c r="K13" i="4"/>
  <c r="K10" i="4"/>
  <c r="N20" i="4" l="1"/>
  <c r="O13" i="4" s="1"/>
  <c r="P13" i="4" s="1"/>
  <c r="O9" i="4" l="1"/>
  <c r="P9" i="4" s="1"/>
  <c r="O15" i="4"/>
  <c r="P15" i="4" s="1"/>
  <c r="O19" i="4"/>
  <c r="P19" i="4" s="1"/>
  <c r="O12" i="4"/>
  <c r="P12" i="4" s="1"/>
  <c r="O17" i="4"/>
  <c r="P17" i="4" s="1"/>
  <c r="O18" i="4"/>
  <c r="P18" i="4" s="1"/>
  <c r="O14" i="4"/>
  <c r="P14" i="4" s="1"/>
  <c r="O10" i="4"/>
  <c r="P10" i="4" s="1"/>
  <c r="O16" i="4"/>
  <c r="P16" i="4" s="1"/>
  <c r="O11" i="4"/>
  <c r="P11" i="4" s="1"/>
  <c r="P20" i="4" l="1"/>
  <c r="Q19" i="4" s="1"/>
  <c r="Q11" i="4" l="1"/>
  <c r="T11" i="4" s="1"/>
  <c r="Q15" i="4"/>
  <c r="T15" i="4" s="1"/>
  <c r="Q13" i="4"/>
  <c r="T13" i="4" s="1"/>
  <c r="Q9" i="4"/>
  <c r="T9" i="4" s="1"/>
  <c r="Q18" i="4"/>
  <c r="T18" i="4" s="1"/>
  <c r="Q14" i="4"/>
  <c r="T14" i="4" s="1"/>
  <c r="Q17" i="4"/>
  <c r="T17" i="4" s="1"/>
  <c r="Q10" i="4"/>
  <c r="T10" i="4" s="1"/>
  <c r="Q16" i="4"/>
  <c r="T16" i="4" s="1"/>
  <c r="Q12" i="4"/>
  <c r="T19" i="4"/>
  <c r="Q20" i="4" l="1"/>
  <c r="R20" i="4" s="1"/>
  <c r="T12" i="4"/>
  <c r="S20" i="4" s="1"/>
  <c r="U16" i="4" l="1"/>
  <c r="V16" i="4" s="1"/>
  <c r="U15" i="4"/>
  <c r="V15" i="4" s="1"/>
  <c r="U17" i="4"/>
  <c r="V17" i="4" s="1"/>
  <c r="U19" i="4"/>
  <c r="V19" i="4" s="1"/>
  <c r="U13" i="4"/>
  <c r="V13" i="4" s="1"/>
  <c r="U14" i="4"/>
  <c r="V14" i="4" s="1"/>
  <c r="U11" i="4"/>
  <c r="V11" i="4" s="1"/>
  <c r="U12" i="4"/>
  <c r="V12" i="4" s="1"/>
  <c r="U18" i="4"/>
  <c r="V18" i="4" s="1"/>
  <c r="U10" i="4"/>
  <c r="V10" i="4" s="1"/>
  <c r="U9" i="4"/>
  <c r="V9" i="4" s="1"/>
  <c r="V20" i="4" l="1"/>
  <c r="W17" i="4" l="1"/>
  <c r="W16" i="4"/>
  <c r="W15" i="4"/>
  <c r="W14" i="4"/>
  <c r="W19" i="4"/>
  <c r="W18" i="4"/>
  <c r="W12" i="4"/>
  <c r="W13" i="4"/>
  <c r="W10" i="4"/>
  <c r="W11" i="4"/>
  <c r="W9" i="4"/>
  <c r="Z15" i="4" l="1"/>
  <c r="Z14" i="4"/>
  <c r="Z11" i="4"/>
  <c r="Z16" i="4"/>
  <c r="Z13" i="4"/>
  <c r="W20" i="4"/>
  <c r="X20" i="4" s="1"/>
  <c r="Z9" i="4"/>
  <c r="Z12" i="4"/>
  <c r="Z18" i="4"/>
  <c r="Z10" i="4"/>
  <c r="Z19" i="4"/>
  <c r="Z17" i="4"/>
  <c r="Y20" i="4" l="1"/>
  <c r="AA11" i="4" l="1"/>
  <c r="AB11" i="4" s="1"/>
  <c r="AA15" i="4"/>
  <c r="AB15" i="4" s="1"/>
  <c r="AA17" i="4"/>
  <c r="AB17" i="4" s="1"/>
  <c r="AA14" i="4"/>
  <c r="AB14" i="4" s="1"/>
  <c r="AA12" i="4"/>
  <c r="AB12" i="4" s="1"/>
  <c r="AA19" i="4"/>
  <c r="AB19" i="4" s="1"/>
  <c r="AA16" i="4"/>
  <c r="AB16" i="4" s="1"/>
  <c r="AA18" i="4"/>
  <c r="AB18" i="4" s="1"/>
  <c r="AA10" i="4"/>
  <c r="AB10" i="4" s="1"/>
  <c r="AA9" i="4"/>
  <c r="AB9" i="4" s="1"/>
  <c r="AA13" i="4"/>
  <c r="AB13" i="4" s="1"/>
  <c r="AB20" i="4" l="1"/>
  <c r="AC15" i="4" l="1"/>
  <c r="AC16" i="4"/>
  <c r="AC10" i="4"/>
  <c r="AC11" i="4"/>
  <c r="AC13" i="4"/>
  <c r="AC19" i="4"/>
  <c r="AC17" i="4"/>
  <c r="AC12" i="4"/>
  <c r="AC18" i="4"/>
  <c r="AC14" i="4"/>
  <c r="AC9" i="4"/>
  <c r="AF17" i="4" l="1"/>
  <c r="AC20" i="4"/>
  <c r="AD20" i="4" s="1"/>
  <c r="AF9" i="4"/>
  <c r="AF16" i="4"/>
  <c r="AF12" i="4"/>
  <c r="AF11" i="4"/>
  <c r="AF10" i="4"/>
  <c r="AF14" i="4"/>
  <c r="AF19" i="4"/>
  <c r="AF18" i="4"/>
  <c r="AF13" i="4"/>
  <c r="AF15" i="4"/>
  <c r="AE20" i="4" l="1"/>
  <c r="AG16" i="4" l="1"/>
  <c r="AH16" i="4" s="1"/>
  <c r="AG9" i="4"/>
  <c r="AH9" i="4" s="1"/>
  <c r="AG17" i="4"/>
  <c r="AH17" i="4" s="1"/>
  <c r="AG19" i="4"/>
  <c r="AH19" i="4" s="1"/>
  <c r="AG13" i="4"/>
  <c r="AH13" i="4" s="1"/>
  <c r="AG10" i="4"/>
  <c r="AH10" i="4" s="1"/>
  <c r="AG15" i="4"/>
  <c r="AH15" i="4" s="1"/>
  <c r="AG18" i="4"/>
  <c r="AH18" i="4" s="1"/>
  <c r="AG12" i="4"/>
  <c r="AH12" i="4" s="1"/>
  <c r="AG11" i="4"/>
  <c r="AH11" i="4" s="1"/>
  <c r="AG14" i="4"/>
  <c r="AH14" i="4" s="1"/>
  <c r="AH20" i="4" l="1"/>
  <c r="AI10" i="4" l="1"/>
  <c r="AI9" i="4"/>
  <c r="AI16" i="4"/>
  <c r="AI18" i="4"/>
  <c r="AI11" i="4"/>
  <c r="AI17" i="4"/>
  <c r="AI14" i="4"/>
  <c r="AI12" i="4"/>
  <c r="AI15" i="4"/>
  <c r="AI19" i="4"/>
  <c r="AI13" i="4"/>
  <c r="AL14" i="4" l="1"/>
  <c r="AL18" i="4"/>
  <c r="AL19" i="4"/>
  <c r="AI20" i="4"/>
  <c r="AJ20" i="4" s="1"/>
  <c r="AL9" i="4"/>
  <c r="AL12" i="4"/>
  <c r="AL13" i="4"/>
  <c r="AL16" i="4"/>
  <c r="AL17" i="4"/>
  <c r="AL15" i="4"/>
  <c r="AL11" i="4"/>
  <c r="AL10" i="4"/>
  <c r="AK20" i="4" l="1"/>
  <c r="AM17" i="4" l="1"/>
  <c r="AN17" i="4" s="1"/>
  <c r="AM11" i="4"/>
  <c r="AN11" i="4" s="1"/>
  <c r="AM18" i="4"/>
  <c r="AN18" i="4" s="1"/>
  <c r="AM19" i="4"/>
  <c r="AN19" i="4" s="1"/>
  <c r="AM15" i="4"/>
  <c r="AN15" i="4" s="1"/>
  <c r="AM10" i="4"/>
  <c r="AN10" i="4" s="1"/>
  <c r="AM14" i="4"/>
  <c r="AN14" i="4" s="1"/>
  <c r="AM13" i="4"/>
  <c r="AN13" i="4" s="1"/>
  <c r="AM12" i="4"/>
  <c r="AN12" i="4" s="1"/>
  <c r="AM16" i="4"/>
  <c r="AN16" i="4" s="1"/>
  <c r="AM9" i="4"/>
  <c r="AN9" i="4" s="1"/>
  <c r="AN20" i="4" l="1"/>
  <c r="AO17" i="4" l="1"/>
  <c r="AO19" i="4"/>
  <c r="AO18" i="4"/>
  <c r="AO13" i="4"/>
  <c r="AO16" i="4"/>
  <c r="AO10" i="4"/>
  <c r="AO14" i="4"/>
  <c r="AO9" i="4"/>
  <c r="AO15" i="4"/>
  <c r="AO11" i="4"/>
  <c r="AO12" i="4"/>
  <c r="AR14" i="4" l="1"/>
  <c r="AR13" i="4"/>
  <c r="AR11" i="4"/>
  <c r="AR19" i="4"/>
  <c r="AO20" i="4"/>
  <c r="AP20" i="4" s="1"/>
  <c r="AR9" i="4"/>
  <c r="AR12" i="4"/>
  <c r="AR18" i="4"/>
  <c r="AR10" i="4"/>
  <c r="AR15" i="4"/>
  <c r="AR16" i="4"/>
  <c r="AR17" i="4"/>
  <c r="AQ20" i="4" l="1"/>
  <c r="AS11" i="4" l="1"/>
  <c r="AT11" i="4" s="1"/>
  <c r="AS16" i="4"/>
  <c r="AT16" i="4" s="1"/>
  <c r="AS18" i="4"/>
  <c r="AT18" i="4" s="1"/>
  <c r="AS12" i="4"/>
  <c r="AT12" i="4" s="1"/>
  <c r="AS15" i="4"/>
  <c r="AT15" i="4" s="1"/>
  <c r="AS10" i="4"/>
  <c r="AT10" i="4" s="1"/>
  <c r="AS13" i="4"/>
  <c r="AT13" i="4" s="1"/>
  <c r="AS17" i="4"/>
  <c r="AT17" i="4" s="1"/>
  <c r="AS9" i="4"/>
  <c r="AT9" i="4" s="1"/>
  <c r="AS19" i="4"/>
  <c r="AT19" i="4" s="1"/>
  <c r="AS14" i="4"/>
  <c r="AT14" i="4" s="1"/>
  <c r="AT20" i="4" l="1"/>
  <c r="AU14" i="4" l="1"/>
  <c r="AU13" i="4"/>
  <c r="AU9" i="4"/>
  <c r="AU15" i="4"/>
  <c r="AU12" i="4"/>
  <c r="AU16" i="4"/>
  <c r="AU17" i="4"/>
  <c r="AU19" i="4"/>
  <c r="AU18" i="4"/>
  <c r="AU11" i="4"/>
  <c r="AU10" i="4"/>
  <c r="AX17" i="4" l="1"/>
  <c r="AX15" i="4"/>
  <c r="AX13" i="4"/>
  <c r="AX19" i="4"/>
  <c r="AX10" i="4"/>
  <c r="AU20" i="4"/>
  <c r="AV20" i="4" s="1"/>
  <c r="AX9" i="4"/>
  <c r="AX11" i="4"/>
  <c r="AX16" i="4"/>
  <c r="AX18" i="4"/>
  <c r="AX12" i="4"/>
  <c r="AX14" i="4"/>
  <c r="AW20" i="4" l="1"/>
  <c r="AY10" i="4" l="1"/>
  <c r="AZ10" i="4" s="1"/>
  <c r="AY14" i="4"/>
  <c r="AZ14" i="4" s="1"/>
  <c r="AY11" i="4"/>
  <c r="AZ11" i="4" s="1"/>
  <c r="AY19" i="4"/>
  <c r="AZ19" i="4" s="1"/>
  <c r="AY13" i="4"/>
  <c r="AZ13" i="4" s="1"/>
  <c r="AY9" i="4"/>
  <c r="AZ9" i="4" s="1"/>
  <c r="AY12" i="4"/>
  <c r="AZ12" i="4" s="1"/>
  <c r="AY18" i="4"/>
  <c r="AZ18" i="4" s="1"/>
  <c r="AY15" i="4"/>
  <c r="AZ15" i="4" s="1"/>
  <c r="AY16" i="4"/>
  <c r="AZ16" i="4" s="1"/>
  <c r="AY17" i="4"/>
  <c r="AZ17" i="4" s="1"/>
  <c r="AZ20" i="4" l="1"/>
  <c r="BA18" i="4" l="1"/>
  <c r="BA10" i="4"/>
  <c r="BA16" i="4"/>
  <c r="BA11" i="4"/>
  <c r="BA15" i="4"/>
  <c r="BA17" i="4"/>
  <c r="BA19" i="4"/>
  <c r="BA9" i="4"/>
  <c r="BA14" i="4"/>
  <c r="BA13" i="4"/>
  <c r="BA12" i="4"/>
  <c r="BD19" i="4" l="1"/>
  <c r="BA20" i="4"/>
  <c r="BB20" i="4" s="1"/>
  <c r="BD9" i="4"/>
  <c r="BD12" i="4"/>
  <c r="BD10" i="4"/>
  <c r="BD11" i="4"/>
  <c r="BD16" i="4"/>
  <c r="BD13" i="4"/>
  <c r="BD17" i="4"/>
  <c r="BD14" i="4"/>
  <c r="BD15" i="4"/>
  <c r="BD18" i="4"/>
  <c r="BC20" i="4" l="1"/>
  <c r="BE18" i="4" l="1"/>
  <c r="BF18" i="4" s="1"/>
  <c r="BE13" i="4"/>
  <c r="BF13" i="4" s="1"/>
  <c r="BE15" i="4"/>
  <c r="BF15" i="4" s="1"/>
  <c r="BE12" i="4"/>
  <c r="BF12" i="4" s="1"/>
  <c r="BE11" i="4"/>
  <c r="BF11" i="4" s="1"/>
  <c r="BE19" i="4"/>
  <c r="BF19" i="4" s="1"/>
  <c r="BE17" i="4"/>
  <c r="BF17" i="4" s="1"/>
  <c r="BE10" i="4"/>
  <c r="BF10" i="4" s="1"/>
  <c r="BE16" i="4"/>
  <c r="BF16" i="4" s="1"/>
  <c r="BE14" i="4"/>
  <c r="BF14" i="4" s="1"/>
  <c r="BE9" i="4"/>
  <c r="BF9" i="4" s="1"/>
  <c r="BF20" i="4" l="1"/>
  <c r="BG14" i="4" l="1"/>
  <c r="BG15" i="4"/>
  <c r="BG17" i="4"/>
  <c r="BG13" i="4"/>
  <c r="BG12" i="4"/>
  <c r="BG11" i="4"/>
  <c r="BG19" i="4"/>
  <c r="BG10" i="4"/>
  <c r="BG16" i="4"/>
  <c r="BG9" i="4"/>
  <c r="BG18" i="4"/>
  <c r="BJ19" i="4" l="1"/>
  <c r="BJ10" i="4"/>
  <c r="BG20" i="4"/>
  <c r="BH20" i="4" s="1"/>
  <c r="BJ9" i="4"/>
  <c r="BJ15" i="4"/>
  <c r="BJ13" i="4"/>
  <c r="BJ18" i="4"/>
  <c r="BJ17" i="4"/>
  <c r="BJ11" i="4"/>
  <c r="BJ16" i="4"/>
  <c r="BJ12" i="4"/>
  <c r="BJ14" i="4"/>
  <c r="BI20" i="4" l="1"/>
  <c r="BK13" i="4" l="1"/>
  <c r="BL13" i="4" s="1"/>
  <c r="BK14" i="4"/>
  <c r="BL14" i="4" s="1"/>
  <c r="BK12" i="4"/>
  <c r="BL12" i="4" s="1"/>
  <c r="BK18" i="4"/>
  <c r="BL18" i="4" s="1"/>
  <c r="BK16" i="4"/>
  <c r="BL16" i="4" s="1"/>
  <c r="BK10" i="4"/>
  <c r="BL10" i="4" s="1"/>
  <c r="BK15" i="4"/>
  <c r="BL15" i="4" s="1"/>
  <c r="BK11" i="4"/>
  <c r="BL11" i="4" s="1"/>
  <c r="BK9" i="4"/>
  <c r="BL9" i="4" s="1"/>
  <c r="BK17" i="4"/>
  <c r="BL17" i="4" s="1"/>
  <c r="BK19" i="4"/>
  <c r="BL19" i="4" s="1"/>
  <c r="BL20" i="4" l="1"/>
  <c r="BM19" i="4" l="1"/>
  <c r="BM17" i="4"/>
  <c r="BM10" i="4"/>
  <c r="BM11" i="4"/>
  <c r="BM18" i="4"/>
  <c r="BM12" i="4"/>
  <c r="BM15" i="4"/>
  <c r="BM16" i="4"/>
  <c r="BM9" i="4"/>
  <c r="BM13" i="4"/>
  <c r="BM14" i="4"/>
  <c r="BP16" i="4" l="1"/>
  <c r="BP14" i="4"/>
  <c r="BP17" i="4"/>
  <c r="BP11" i="4"/>
  <c r="BP15" i="4"/>
  <c r="BP10" i="4"/>
  <c r="BP13" i="4"/>
  <c r="BP12" i="4"/>
  <c r="BM20" i="4"/>
  <c r="BN20" i="4" s="1"/>
  <c r="BP9" i="4"/>
  <c r="BP18" i="4"/>
  <c r="BP19" i="4"/>
  <c r="BO20" i="4" l="1"/>
  <c r="BQ15" i="4" l="1"/>
  <c r="BR15" i="4" s="1"/>
  <c r="BQ13" i="4"/>
  <c r="BR13" i="4" s="1"/>
  <c r="BQ10" i="4"/>
  <c r="BR10" i="4" s="1"/>
  <c r="BQ11" i="4"/>
  <c r="BR11" i="4" s="1"/>
  <c r="BQ19" i="4"/>
  <c r="BR19" i="4" s="1"/>
  <c r="BQ16" i="4"/>
  <c r="BR16" i="4" s="1"/>
  <c r="BQ14" i="4"/>
  <c r="BR14" i="4" s="1"/>
  <c r="BQ9" i="4"/>
  <c r="BR9" i="4" s="1"/>
  <c r="BQ12" i="4"/>
  <c r="BR12" i="4" s="1"/>
  <c r="BQ17" i="4"/>
  <c r="BR17" i="4" s="1"/>
  <c r="BQ18" i="4"/>
  <c r="BR18" i="4" s="1"/>
  <c r="BR20" i="4" l="1"/>
  <c r="BS15" i="4" s="1"/>
  <c r="BS10" i="4" l="1"/>
  <c r="BV10" i="4" s="1"/>
  <c r="BS12" i="4"/>
  <c r="BV12" i="4" s="1"/>
  <c r="BS19" i="4"/>
  <c r="BV19" i="4" s="1"/>
  <c r="BS18" i="4"/>
  <c r="BV18" i="4" s="1"/>
  <c r="BS17" i="4"/>
  <c r="BV17" i="4" s="1"/>
  <c r="BS14" i="4"/>
  <c r="BV14" i="4" s="1"/>
  <c r="BS9" i="4"/>
  <c r="BV9" i="4" s="1"/>
  <c r="BS13" i="4"/>
  <c r="BV13" i="4" s="1"/>
  <c r="BS11" i="4"/>
  <c r="BV11" i="4" s="1"/>
  <c r="BS16" i="4"/>
  <c r="BV16" i="4" s="1"/>
  <c r="BV15" i="4"/>
  <c r="BS20" i="4" l="1"/>
  <c r="BT20" i="4" s="1"/>
  <c r="BU20" i="4"/>
  <c r="BW17" i="4" l="1"/>
  <c r="BX17" i="4" s="1"/>
  <c r="BW15" i="4"/>
  <c r="BX15" i="4" s="1"/>
  <c r="BW19" i="4"/>
  <c r="BX19" i="4" s="1"/>
  <c r="BW11" i="4"/>
  <c r="BX11" i="4" s="1"/>
  <c r="BW18" i="4"/>
  <c r="BX18" i="4" s="1"/>
  <c r="BW10" i="4"/>
  <c r="BX10" i="4" s="1"/>
  <c r="BW16" i="4"/>
  <c r="BX16" i="4" s="1"/>
  <c r="BW14" i="4"/>
  <c r="BX14" i="4" s="1"/>
  <c r="BW12" i="4"/>
  <c r="BX12" i="4" s="1"/>
  <c r="BW13" i="4"/>
  <c r="BX13" i="4" s="1"/>
  <c r="BW9" i="4"/>
  <c r="BX9" i="4" s="1"/>
  <c r="BX20" i="4" l="1"/>
  <c r="BY18" i="4" l="1"/>
  <c r="BY17" i="4"/>
  <c r="BY15" i="4"/>
  <c r="BY19" i="4"/>
  <c r="BY10" i="4"/>
  <c r="BY11" i="4"/>
  <c r="BY9" i="4"/>
  <c r="BY14" i="4"/>
  <c r="BY12" i="4"/>
  <c r="BY16" i="4"/>
  <c r="BY13" i="4"/>
  <c r="BY20" i="4" l="1"/>
  <c r="BZ20" i="4" s="1"/>
  <c r="CB9" i="4"/>
  <c r="CB14" i="4"/>
  <c r="CB16" i="4"/>
  <c r="CB17" i="4"/>
  <c r="CB19" i="4"/>
  <c r="CB13" i="4"/>
  <c r="CB15" i="4"/>
  <c r="CB11" i="4"/>
  <c r="CB12" i="4"/>
  <c r="CB10" i="4"/>
  <c r="CB18" i="4"/>
  <c r="CA20" i="4" l="1"/>
  <c r="CC17" i="4" l="1"/>
  <c r="CD17" i="4" s="1"/>
  <c r="CC13" i="4"/>
  <c r="CD13" i="4" s="1"/>
  <c r="CC12" i="4"/>
  <c r="CD12" i="4" s="1"/>
  <c r="CC10" i="4"/>
  <c r="CD10" i="4" s="1"/>
  <c r="CC19" i="4"/>
  <c r="CD19" i="4" s="1"/>
  <c r="CC11" i="4"/>
  <c r="CD11" i="4" s="1"/>
  <c r="CC18" i="4"/>
  <c r="CD18" i="4" s="1"/>
  <c r="CC14" i="4"/>
  <c r="CD14" i="4" s="1"/>
  <c r="CC9" i="4"/>
  <c r="CD9" i="4" s="1"/>
  <c r="CC15" i="4"/>
  <c r="CD15" i="4" s="1"/>
  <c r="CC16" i="4"/>
  <c r="CD16" i="4" s="1"/>
  <c r="CD20" i="4" l="1"/>
  <c r="CE14" i="4" l="1"/>
  <c r="CE18" i="4"/>
  <c r="CE11" i="4"/>
  <c r="CE10" i="4"/>
  <c r="CE9" i="4"/>
  <c r="CE19" i="4"/>
  <c r="CE16" i="4"/>
  <c r="CE13" i="4"/>
  <c r="CE17" i="4"/>
  <c r="CE15" i="4"/>
  <c r="CE12" i="4"/>
  <c r="CH11" i="4" l="1"/>
  <c r="CH13" i="4"/>
  <c r="CH12" i="4"/>
  <c r="CH15" i="4"/>
  <c r="CH18" i="4"/>
  <c r="CH10" i="4"/>
  <c r="CH16" i="4"/>
  <c r="CH19" i="4"/>
  <c r="CH17" i="4"/>
  <c r="CE20" i="4"/>
  <c r="CF20" i="4" s="1"/>
  <c r="CH9" i="4"/>
  <c r="CH14" i="4"/>
  <c r="CG20" i="4" l="1"/>
  <c r="CI14" i="4" l="1"/>
  <c r="CJ14" i="4" s="1"/>
  <c r="CI16" i="4"/>
  <c r="CJ16" i="4" s="1"/>
  <c r="CI12" i="4"/>
  <c r="CJ12" i="4" s="1"/>
  <c r="CI15" i="4"/>
  <c r="CJ15" i="4" s="1"/>
  <c r="CI10" i="4"/>
  <c r="CJ10" i="4" s="1"/>
  <c r="CI17" i="4"/>
  <c r="CJ17" i="4" s="1"/>
  <c r="CI13" i="4"/>
  <c r="CJ13" i="4" s="1"/>
  <c r="CI18" i="4"/>
  <c r="CJ18" i="4" s="1"/>
  <c r="CI9" i="4"/>
  <c r="CJ9" i="4" s="1"/>
  <c r="CI11" i="4"/>
  <c r="CJ11" i="4" s="1"/>
  <c r="CI19" i="4"/>
  <c r="CJ19" i="4" s="1"/>
  <c r="CJ20" i="4" l="1"/>
  <c r="CK14" i="4" l="1"/>
  <c r="CK17" i="4"/>
  <c r="CK15" i="4"/>
  <c r="CK16" i="4"/>
  <c r="CK12" i="4"/>
  <c r="CK10" i="4"/>
  <c r="CK13" i="4"/>
  <c r="CK11" i="4"/>
  <c r="CK19" i="4"/>
  <c r="CK18" i="4"/>
  <c r="CK9" i="4"/>
  <c r="CN11" i="4" l="1"/>
  <c r="CK20" i="4"/>
  <c r="CL20" i="4" s="1"/>
  <c r="CN9" i="4"/>
  <c r="CN17" i="4"/>
  <c r="CN16" i="4"/>
  <c r="CN13" i="4"/>
  <c r="CN15" i="4"/>
  <c r="CN18" i="4"/>
  <c r="CN10" i="4"/>
  <c r="CN19" i="4"/>
  <c r="CN12" i="4"/>
  <c r="CN14" i="4"/>
  <c r="CM20" i="4" l="1"/>
  <c r="CO16" i="4" l="1"/>
  <c r="CP16" i="4" s="1"/>
  <c r="CO15" i="4"/>
  <c r="CP15" i="4" s="1"/>
  <c r="CO13" i="4"/>
  <c r="CP13" i="4" s="1"/>
  <c r="CO19" i="4"/>
  <c r="CP19" i="4" s="1"/>
  <c r="CO11" i="4"/>
  <c r="CP11" i="4" s="1"/>
  <c r="CO14" i="4"/>
  <c r="CP14" i="4" s="1"/>
  <c r="CO10" i="4"/>
  <c r="CP10" i="4" s="1"/>
  <c r="CO12" i="4"/>
  <c r="CP12" i="4" s="1"/>
  <c r="CO17" i="4"/>
  <c r="CP17" i="4" s="1"/>
  <c r="CO9" i="4"/>
  <c r="CP9" i="4" s="1"/>
  <c r="CO18" i="4"/>
  <c r="CP18" i="4" s="1"/>
  <c r="CP20" i="4" l="1"/>
  <c r="CQ10" i="4" l="1"/>
  <c r="CQ19" i="4"/>
  <c r="CQ13" i="4"/>
  <c r="CQ17" i="4"/>
  <c r="CQ16" i="4"/>
  <c r="CQ12" i="4"/>
  <c r="CQ18" i="4"/>
  <c r="CQ11" i="4"/>
  <c r="CQ9" i="4"/>
  <c r="CQ14" i="4"/>
  <c r="CQ15" i="4"/>
  <c r="CT17" i="4" l="1"/>
  <c r="CT18" i="4"/>
  <c r="CT19" i="4"/>
  <c r="CT11" i="4"/>
  <c r="CT15" i="4"/>
  <c r="CT13" i="4"/>
  <c r="CT14" i="4"/>
  <c r="CT12" i="4"/>
  <c r="CQ20" i="4"/>
  <c r="CR20" i="4" s="1"/>
  <c r="CT9" i="4"/>
  <c r="CT16" i="4"/>
  <c r="CT10" i="4"/>
  <c r="CS20" i="4" l="1"/>
  <c r="CU10" i="4" l="1"/>
  <c r="CV10" i="4" s="1"/>
  <c r="CU16" i="4"/>
  <c r="CV16" i="4" s="1"/>
  <c r="CU18" i="4"/>
  <c r="CV18" i="4" s="1"/>
  <c r="CU13" i="4"/>
  <c r="CV13" i="4" s="1"/>
  <c r="CU19" i="4"/>
  <c r="CV19" i="4" s="1"/>
  <c r="CU17" i="4"/>
  <c r="CV17" i="4" s="1"/>
  <c r="CU12" i="4"/>
  <c r="CV12" i="4" s="1"/>
  <c r="CU14" i="4"/>
  <c r="CV14" i="4" s="1"/>
  <c r="CU11" i="4"/>
  <c r="CV11" i="4" s="1"/>
  <c r="CU15" i="4"/>
  <c r="CV15" i="4" s="1"/>
  <c r="CU9" i="4"/>
  <c r="CV9" i="4" s="1"/>
  <c r="CV20" i="4" l="1"/>
  <c r="CW12" i="4" s="1"/>
  <c r="CW10" i="4" l="1"/>
  <c r="CZ10" i="4" s="1"/>
  <c r="CW17" i="4"/>
  <c r="CZ17" i="4" s="1"/>
  <c r="CW11" i="4"/>
  <c r="CZ11" i="4" s="1"/>
  <c r="CW13" i="4"/>
  <c r="CZ13" i="4" s="1"/>
  <c r="CW18" i="4"/>
  <c r="CZ18" i="4" s="1"/>
  <c r="CW16" i="4"/>
  <c r="CZ16" i="4" s="1"/>
  <c r="CW19" i="4"/>
  <c r="CZ19" i="4" s="1"/>
  <c r="CW15" i="4"/>
  <c r="CZ15" i="4" s="1"/>
  <c r="CW9" i="4"/>
  <c r="CW14" i="4"/>
  <c r="CZ14" i="4" s="1"/>
  <c r="CZ12" i="4"/>
  <c r="CW20" i="4" l="1"/>
  <c r="CX20" i="4" s="1"/>
  <c r="CZ9" i="4"/>
  <c r="CY20" i="4" s="1"/>
  <c r="DA14" i="4" l="1"/>
  <c r="DB14" i="4" s="1"/>
  <c r="DA11" i="4"/>
  <c r="DB11" i="4" s="1"/>
  <c r="DA16" i="4"/>
  <c r="DB16" i="4" s="1"/>
  <c r="DA12" i="4"/>
  <c r="DB12" i="4" s="1"/>
  <c r="DA15" i="4"/>
  <c r="DB15" i="4" s="1"/>
  <c r="DA13" i="4"/>
  <c r="DB13" i="4" s="1"/>
  <c r="DA17" i="4"/>
  <c r="DB17" i="4" s="1"/>
  <c r="DA18" i="4"/>
  <c r="DB18" i="4" s="1"/>
  <c r="DA9" i="4"/>
  <c r="DB9" i="4" s="1"/>
  <c r="DA19" i="4"/>
  <c r="DB19" i="4" s="1"/>
  <c r="DA10" i="4"/>
  <c r="DB10" i="4" s="1"/>
  <c r="DB20" i="4" l="1"/>
  <c r="DC19" i="4" l="1"/>
  <c r="DC13" i="4"/>
  <c r="DC18" i="4"/>
  <c r="DC16" i="4"/>
  <c r="DC15" i="4"/>
  <c r="DC12" i="4"/>
  <c r="DC17" i="4"/>
  <c r="DC9" i="4"/>
  <c r="DC11" i="4"/>
  <c r="DC10" i="4"/>
  <c r="DC14" i="4"/>
  <c r="DC20" i="4" l="1"/>
  <c r="DD20" i="4" s="1"/>
  <c r="DF9" i="4"/>
  <c r="DF14" i="4"/>
  <c r="DF13" i="4"/>
  <c r="DF16" i="4"/>
  <c r="DF17" i="4"/>
  <c r="DF18" i="4"/>
  <c r="DF10" i="4"/>
  <c r="DF12" i="4"/>
  <c r="DF11" i="4"/>
  <c r="DF15" i="4"/>
  <c r="DF19" i="4"/>
  <c r="DE20" i="4" l="1"/>
  <c r="DG17" i="4" l="1"/>
  <c r="DH17" i="4" s="1"/>
  <c r="DG19" i="4"/>
  <c r="DH19" i="4" s="1"/>
  <c r="DG12" i="4"/>
  <c r="DH12" i="4" s="1"/>
  <c r="DG13" i="4"/>
  <c r="DH13" i="4" s="1"/>
  <c r="DG16" i="4"/>
  <c r="DH16" i="4" s="1"/>
  <c r="DG10" i="4"/>
  <c r="DH10" i="4" s="1"/>
  <c r="DG9" i="4"/>
  <c r="DH9" i="4" s="1"/>
  <c r="DG15" i="4"/>
  <c r="DH15" i="4" s="1"/>
  <c r="DG14" i="4"/>
  <c r="DH14" i="4" s="1"/>
  <c r="DG18" i="4"/>
  <c r="DH18" i="4" s="1"/>
  <c r="DG11" i="4"/>
  <c r="DH11" i="4" s="1"/>
  <c r="DH20" i="4" l="1"/>
  <c r="DI19" i="4" s="1"/>
  <c r="DI13" i="4" l="1"/>
  <c r="DL13" i="4" s="1"/>
  <c r="DI11" i="4"/>
  <c r="DL11" i="4" s="1"/>
  <c r="DI9" i="4"/>
  <c r="DI10" i="4"/>
  <c r="DL10" i="4" s="1"/>
  <c r="DI17" i="4"/>
  <c r="DL17" i="4" s="1"/>
  <c r="DI18" i="4"/>
  <c r="DL18" i="4" s="1"/>
  <c r="DI16" i="4"/>
  <c r="DL16" i="4" s="1"/>
  <c r="DI12" i="4"/>
  <c r="DL12" i="4" s="1"/>
  <c r="DI15" i="4"/>
  <c r="DL15" i="4" s="1"/>
  <c r="DI14" i="4"/>
  <c r="DL14" i="4" s="1"/>
  <c r="DL19" i="4"/>
  <c r="DI20" i="4" l="1"/>
  <c r="DJ20" i="4" s="1"/>
  <c r="DL9" i="4"/>
  <c r="DK20" i="4" s="1"/>
  <c r="DM14" i="4" l="1"/>
  <c r="DN14" i="4" s="1"/>
  <c r="DM9" i="4"/>
  <c r="DN9" i="4" s="1"/>
  <c r="DM15" i="4"/>
  <c r="DN15" i="4" s="1"/>
  <c r="DM12" i="4"/>
  <c r="DN12" i="4" s="1"/>
  <c r="DM16" i="4"/>
  <c r="DN16" i="4" s="1"/>
  <c r="DM13" i="4"/>
  <c r="DN13" i="4" s="1"/>
  <c r="DM19" i="4"/>
  <c r="DN19" i="4" s="1"/>
  <c r="DM10" i="4"/>
  <c r="DN10" i="4" s="1"/>
  <c r="DM18" i="4"/>
  <c r="DN18" i="4" s="1"/>
  <c r="DM11" i="4"/>
  <c r="DN11" i="4" s="1"/>
  <c r="DM17" i="4"/>
  <c r="DN17" i="4" s="1"/>
  <c r="DN20" i="4" l="1"/>
  <c r="DO15" i="4" l="1"/>
  <c r="DO19" i="4"/>
  <c r="DO18" i="4"/>
  <c r="DO13" i="4"/>
  <c r="DO10" i="4"/>
  <c r="DO11" i="4"/>
  <c r="DO12" i="4"/>
  <c r="DO16" i="4"/>
  <c r="DO9" i="4"/>
  <c r="DO14" i="4"/>
  <c r="DO17" i="4"/>
  <c r="DR16" i="4" l="1"/>
  <c r="DR17" i="4"/>
  <c r="DR19" i="4"/>
  <c r="DR13" i="4"/>
  <c r="DR12" i="4"/>
  <c r="DR18" i="4"/>
  <c r="DR14" i="4"/>
  <c r="DR11" i="4"/>
  <c r="DO20" i="4"/>
  <c r="DP20" i="4" s="1"/>
  <c r="DR9" i="4"/>
  <c r="DR10" i="4"/>
  <c r="DR15" i="4"/>
  <c r="DQ20" i="4" l="1"/>
  <c r="DS17" i="4" l="1"/>
  <c r="DT17" i="4" s="1"/>
  <c r="DS13" i="4"/>
  <c r="DT13" i="4" s="1"/>
  <c r="DS18" i="4"/>
  <c r="DT18" i="4" s="1"/>
  <c r="DS14" i="4"/>
  <c r="DT14" i="4" s="1"/>
  <c r="DS10" i="4"/>
  <c r="DT10" i="4" s="1"/>
  <c r="DS16" i="4"/>
  <c r="DT16" i="4" s="1"/>
  <c r="DS9" i="4"/>
  <c r="DT9" i="4" s="1"/>
  <c r="DS19" i="4"/>
  <c r="DT19" i="4" s="1"/>
  <c r="DS11" i="4"/>
  <c r="DT11" i="4" s="1"/>
  <c r="DS12" i="4"/>
  <c r="DT12" i="4" s="1"/>
  <c r="DS15" i="4"/>
  <c r="DT15" i="4" s="1"/>
  <c r="DT20" i="4" l="1"/>
  <c r="DU11" i="4" l="1"/>
  <c r="DU12" i="4"/>
  <c r="DU18" i="4"/>
  <c r="DU14" i="4"/>
  <c r="DU15" i="4"/>
  <c r="DU13" i="4"/>
  <c r="DU10" i="4"/>
  <c r="DU19" i="4"/>
  <c r="DU9" i="4"/>
  <c r="DU16" i="4"/>
  <c r="DU17" i="4"/>
  <c r="DX17" i="4" l="1"/>
  <c r="DX14" i="4"/>
  <c r="DX12" i="4"/>
  <c r="DX19" i="4"/>
  <c r="DX10" i="4"/>
  <c r="DX18" i="4"/>
  <c r="DX16" i="4"/>
  <c r="DX13" i="4"/>
  <c r="DU20" i="4"/>
  <c r="DV20" i="4" s="1"/>
  <c r="DX9" i="4"/>
  <c r="DX15" i="4"/>
  <c r="DX11" i="4"/>
  <c r="DW20" i="4" l="1"/>
  <c r="DY13" i="4" l="1"/>
  <c r="DZ13" i="4" s="1"/>
  <c r="DY12" i="4"/>
  <c r="DZ12" i="4" s="1"/>
  <c r="DY14" i="4"/>
  <c r="DZ14" i="4" s="1"/>
  <c r="DY16" i="4"/>
  <c r="DZ16" i="4" s="1"/>
  <c r="DY11" i="4"/>
  <c r="DZ11" i="4" s="1"/>
  <c r="DY10" i="4"/>
  <c r="DZ10" i="4" s="1"/>
  <c r="DY9" i="4"/>
  <c r="DZ9" i="4" s="1"/>
  <c r="DY15" i="4"/>
  <c r="DZ15" i="4" s="1"/>
  <c r="DY19" i="4"/>
  <c r="DZ19" i="4" s="1"/>
  <c r="DY18" i="4"/>
  <c r="DZ18" i="4" s="1"/>
  <c r="DY17" i="4"/>
  <c r="DZ17" i="4" s="1"/>
  <c r="DZ20" i="4" l="1"/>
  <c r="EA14" i="4" s="1"/>
  <c r="EA17" i="4" l="1"/>
  <c r="ED17" i="4" s="1"/>
  <c r="EA19" i="4"/>
  <c r="ED19" i="4" s="1"/>
  <c r="EA9" i="4"/>
  <c r="ED9" i="4" s="1"/>
  <c r="EA10" i="4"/>
  <c r="ED10" i="4" s="1"/>
  <c r="EA11" i="4"/>
  <c r="ED11" i="4" s="1"/>
  <c r="EA18" i="4"/>
  <c r="ED18" i="4" s="1"/>
  <c r="EA15" i="4"/>
  <c r="ED15" i="4" s="1"/>
  <c r="EA16" i="4"/>
  <c r="ED16" i="4" s="1"/>
  <c r="EA12" i="4"/>
  <c r="ED12" i="4" s="1"/>
  <c r="EA13" i="4"/>
  <c r="ED13" i="4" s="1"/>
  <c r="ED14" i="4"/>
  <c r="EA20" i="4" l="1"/>
  <c r="EB20" i="4" s="1"/>
  <c r="EC20" i="4"/>
  <c r="EE15" i="4" l="1"/>
  <c r="EF15" i="4" s="1"/>
  <c r="EE11" i="4"/>
  <c r="EF11" i="4" s="1"/>
  <c r="EE12" i="4"/>
  <c r="EF12" i="4" s="1"/>
  <c r="EE19" i="4"/>
  <c r="EF19" i="4" s="1"/>
  <c r="EE10" i="4"/>
  <c r="EF10" i="4" s="1"/>
  <c r="EE9" i="4"/>
  <c r="EF9" i="4" s="1"/>
  <c r="EE14" i="4"/>
  <c r="EF14" i="4" s="1"/>
  <c r="EE17" i="4"/>
  <c r="EF17" i="4" s="1"/>
  <c r="EE16" i="4"/>
  <c r="EF16" i="4" s="1"/>
  <c r="EE18" i="4"/>
  <c r="EF18" i="4" s="1"/>
  <c r="EE13" i="4"/>
  <c r="EF13" i="4" s="1"/>
  <c r="EF20" i="4" l="1"/>
  <c r="EG19" i="4" l="1"/>
  <c r="EG16" i="4"/>
  <c r="EG13" i="4"/>
  <c r="EG18" i="4"/>
  <c r="EG17" i="4"/>
  <c r="EG14" i="4"/>
  <c r="EG15" i="4"/>
  <c r="EG10" i="4"/>
  <c r="EG9" i="4"/>
  <c r="EG11" i="4"/>
  <c r="EG12" i="4"/>
  <c r="EJ13" i="4" l="1"/>
  <c r="EJ18" i="4"/>
  <c r="EJ16" i="4"/>
  <c r="EJ10" i="4"/>
  <c r="EJ12" i="4"/>
  <c r="EJ15" i="4"/>
  <c r="EJ11" i="4"/>
  <c r="EJ14" i="4"/>
  <c r="EG20" i="4"/>
  <c r="EH20" i="4" s="1"/>
  <c r="EJ9" i="4"/>
  <c r="EJ17" i="4"/>
  <c r="EJ19" i="4"/>
  <c r="EI20" i="4" l="1"/>
  <c r="EK19" i="4" l="1"/>
  <c r="EL19" i="4" s="1"/>
  <c r="EK12" i="4"/>
  <c r="EL12" i="4" s="1"/>
  <c r="EK10" i="4"/>
  <c r="EL10" i="4" s="1"/>
  <c r="EK16" i="4"/>
  <c r="EL16" i="4" s="1"/>
  <c r="EK9" i="4"/>
  <c r="EL9" i="4" s="1"/>
  <c r="EK18" i="4"/>
  <c r="EL18" i="4" s="1"/>
  <c r="EK13" i="4"/>
  <c r="EL13" i="4" s="1"/>
  <c r="EK15" i="4"/>
  <c r="EL15" i="4" s="1"/>
  <c r="EK11" i="4"/>
  <c r="EL11" i="4" s="1"/>
  <c r="EK14" i="4"/>
  <c r="EL14" i="4" s="1"/>
  <c r="EK17" i="4"/>
  <c r="EL17" i="4" s="1"/>
  <c r="EL20" i="4" l="1"/>
  <c r="EM15" i="4" l="1"/>
  <c r="EM16" i="4"/>
  <c r="EM14" i="4"/>
  <c r="EM10" i="4"/>
  <c r="EM11" i="4"/>
  <c r="EM19" i="4"/>
  <c r="EM13" i="4"/>
  <c r="EM12" i="4"/>
  <c r="EM9" i="4"/>
  <c r="EM18" i="4"/>
  <c r="EM17" i="4"/>
  <c r="EP14" i="4" l="1"/>
  <c r="EP10" i="4"/>
  <c r="EP19" i="4"/>
  <c r="EP16" i="4"/>
  <c r="EP12" i="4"/>
  <c r="EP17" i="4"/>
  <c r="EP13" i="4"/>
  <c r="EP18" i="4"/>
  <c r="EM20" i="4"/>
  <c r="EN20" i="4" s="1"/>
  <c r="EP9" i="4"/>
  <c r="EP11" i="4"/>
  <c r="EP15" i="4"/>
  <c r="EO20" i="4" l="1"/>
  <c r="EQ18" i="4" s="1"/>
  <c r="ER18" i="4" s="1"/>
  <c r="EQ9" i="4" l="1"/>
  <c r="ER9" i="4" s="1"/>
  <c r="EQ12" i="4"/>
  <c r="ER12" i="4" s="1"/>
  <c r="EQ14" i="4"/>
  <c r="ER14" i="4" s="1"/>
  <c r="EQ10" i="4"/>
  <c r="ER10" i="4" s="1"/>
  <c r="EQ13" i="4"/>
  <c r="ER13" i="4" s="1"/>
  <c r="EQ17" i="4"/>
  <c r="ER17" i="4" s="1"/>
  <c r="EQ11" i="4"/>
  <c r="ER11" i="4" s="1"/>
  <c r="EQ16" i="4"/>
  <c r="ER16" i="4" s="1"/>
  <c r="EQ15" i="4"/>
  <c r="ER15" i="4" s="1"/>
  <c r="EQ19" i="4"/>
  <c r="ER19" i="4" s="1"/>
  <c r="ER20" i="4" l="1"/>
  <c r="ES13" i="4" s="1"/>
  <c r="ES15" i="4" l="1"/>
  <c r="EV15" i="4" s="1"/>
  <c r="ES14" i="4"/>
  <c r="EV14" i="4" s="1"/>
  <c r="ES10" i="4"/>
  <c r="EV10" i="4" s="1"/>
  <c r="ES18" i="4"/>
  <c r="EV18" i="4" s="1"/>
  <c r="ES17" i="4"/>
  <c r="EV17" i="4" s="1"/>
  <c r="ES9" i="4"/>
  <c r="EV9" i="4" s="1"/>
  <c r="ES16" i="4"/>
  <c r="EV16" i="4" s="1"/>
  <c r="ES12" i="4"/>
  <c r="EV12" i="4" s="1"/>
  <c r="ES19" i="4"/>
  <c r="EV19" i="4" s="1"/>
  <c r="ES11" i="4"/>
  <c r="EV11" i="4" s="1"/>
  <c r="EV13" i="4"/>
  <c r="ES20" i="4" l="1"/>
  <c r="ET20" i="4" s="1"/>
  <c r="EU20" i="4"/>
  <c r="EW14" i="4" s="1"/>
  <c r="EX14" i="4" l="1"/>
  <c r="EW18" i="4"/>
  <c r="EX18" i="4" s="1"/>
  <c r="EW12" i="4"/>
  <c r="EX12" i="4" s="1"/>
  <c r="EW9" i="4"/>
  <c r="EX9" i="4" s="1"/>
  <c r="EW15" i="4"/>
  <c r="EX15" i="4" s="1"/>
  <c r="EW16" i="4"/>
  <c r="EX16" i="4" s="1"/>
  <c r="EW11" i="4"/>
  <c r="EX11" i="4" s="1"/>
  <c r="EW19" i="4"/>
  <c r="EX19" i="4" s="1"/>
  <c r="EW17" i="4"/>
  <c r="EX17" i="4" s="1"/>
  <c r="EW13" i="4"/>
  <c r="EX13" i="4" s="1"/>
  <c r="EW10" i="4"/>
  <c r="EX10" i="4" s="1"/>
  <c r="EX20" i="4" l="1"/>
  <c r="EY11" i="4" s="1"/>
  <c r="FB11" i="4" s="1"/>
  <c r="EY10" i="4" l="1"/>
  <c r="FB10" i="4" s="1"/>
  <c r="EY16" i="4"/>
  <c r="FB16" i="4" s="1"/>
  <c r="EY18" i="4"/>
  <c r="FB18" i="4" s="1"/>
  <c r="EY12" i="4"/>
  <c r="FB12" i="4" s="1"/>
  <c r="EY19" i="4"/>
  <c r="FB19" i="4" s="1"/>
  <c r="EY13" i="4"/>
  <c r="FB13" i="4" s="1"/>
  <c r="EY9" i="4"/>
  <c r="FB9" i="4" s="1"/>
  <c r="EY15" i="4"/>
  <c r="FB15" i="4" s="1"/>
  <c r="EY17" i="4"/>
  <c r="FB17" i="4" s="1"/>
  <c r="EY14" i="4"/>
  <c r="FB14" i="4" s="1"/>
  <c r="FA20" i="4" l="1"/>
  <c r="FC17" i="4" s="1"/>
  <c r="EY20" i="4"/>
  <c r="EZ20" i="4" s="1"/>
  <c r="FD17" i="4" l="1"/>
  <c r="FC15" i="4"/>
  <c r="FD15" i="4" s="1"/>
  <c r="FC18" i="4"/>
  <c r="FD18" i="4" s="1"/>
  <c r="FC9" i="4"/>
  <c r="FD9" i="4" s="1"/>
  <c r="FC16" i="4"/>
  <c r="FD16" i="4" s="1"/>
  <c r="FC19" i="4"/>
  <c r="FD19" i="4" s="1"/>
  <c r="FC12" i="4"/>
  <c r="FD12" i="4" s="1"/>
  <c r="FC14" i="4"/>
  <c r="FD14" i="4" s="1"/>
  <c r="FC11" i="4"/>
  <c r="FD11" i="4" s="1"/>
  <c r="FC10" i="4"/>
  <c r="FD10" i="4" s="1"/>
  <c r="FC13" i="4"/>
  <c r="FD13" i="4" s="1"/>
  <c r="FD20" i="4" l="1"/>
  <c r="FE12" i="4" s="1"/>
  <c r="FE18" i="4" l="1"/>
  <c r="FH18" i="4" s="1"/>
  <c r="FE10" i="4"/>
  <c r="FH10" i="4" s="1"/>
  <c r="FE11" i="4"/>
  <c r="FH11" i="4" s="1"/>
  <c r="FE19" i="4"/>
  <c r="FH19" i="4" s="1"/>
  <c r="FE17" i="4"/>
  <c r="FH17" i="4" s="1"/>
  <c r="FE16" i="4"/>
  <c r="FH16" i="4" s="1"/>
  <c r="FE13" i="4"/>
  <c r="FH13" i="4" s="1"/>
  <c r="FE14" i="4"/>
  <c r="FH14" i="4" s="1"/>
  <c r="FE9" i="4"/>
  <c r="FH9" i="4" s="1"/>
  <c r="FE15" i="4"/>
  <c r="FH15" i="4" s="1"/>
  <c r="FH12" i="4"/>
  <c r="FE20" i="4" l="1"/>
  <c r="FF20" i="4" s="1"/>
  <c r="FG20" i="4"/>
  <c r="FI14" i="4" s="1"/>
  <c r="FJ14" i="4" s="1"/>
  <c r="FI19" i="4" l="1"/>
  <c r="FJ19" i="4" s="1"/>
  <c r="FI9" i="4"/>
  <c r="FJ9" i="4" s="1"/>
  <c r="FI16" i="4"/>
  <c r="FJ16" i="4" s="1"/>
  <c r="FI12" i="4"/>
  <c r="FJ12" i="4" s="1"/>
  <c r="FI13" i="4"/>
  <c r="FJ13" i="4" s="1"/>
  <c r="FI17" i="4"/>
  <c r="FJ17" i="4" s="1"/>
  <c r="FI10" i="4"/>
  <c r="FJ10" i="4" s="1"/>
  <c r="FI11" i="4"/>
  <c r="FJ11" i="4" s="1"/>
  <c r="FI15" i="4"/>
  <c r="FJ15" i="4" s="1"/>
  <c r="FI18" i="4"/>
  <c r="FJ18" i="4" s="1"/>
  <c r="FJ20" i="4" l="1"/>
  <c r="FK19" i="4" s="1"/>
  <c r="FK13" i="4" l="1"/>
  <c r="FN13" i="4" s="1"/>
  <c r="FK16" i="4"/>
  <c r="FN16" i="4" s="1"/>
  <c r="FK14" i="4"/>
  <c r="FN14" i="4" s="1"/>
  <c r="FK18" i="4"/>
  <c r="FN18" i="4" s="1"/>
  <c r="FK15" i="4"/>
  <c r="FN15" i="4" s="1"/>
  <c r="FK11" i="4"/>
  <c r="FN11" i="4" s="1"/>
  <c r="FK10" i="4"/>
  <c r="FN10" i="4" s="1"/>
  <c r="FK9" i="4"/>
  <c r="FN9" i="4" s="1"/>
  <c r="FK12" i="4"/>
  <c r="FN12" i="4" s="1"/>
  <c r="FK17" i="4"/>
  <c r="FN17" i="4" s="1"/>
  <c r="FN19" i="4"/>
  <c r="FK20" i="4" l="1"/>
  <c r="FL20" i="4" s="1"/>
  <c r="FM20" i="4"/>
  <c r="FO16" i="4" l="1"/>
  <c r="FP16" i="4" s="1"/>
  <c r="FO12" i="4"/>
  <c r="FP12" i="4" s="1"/>
  <c r="FO15" i="4"/>
  <c r="FP15" i="4" s="1"/>
  <c r="FO9" i="4"/>
  <c r="FP9" i="4" s="1"/>
  <c r="FO18" i="4"/>
  <c r="FP18" i="4" s="1"/>
  <c r="FO13" i="4"/>
  <c r="FP13" i="4" s="1"/>
  <c r="FO14" i="4"/>
  <c r="FP14" i="4" s="1"/>
  <c r="FO19" i="4"/>
  <c r="FP19" i="4" s="1"/>
  <c r="FO10" i="4"/>
  <c r="FP10" i="4" s="1"/>
  <c r="FO17" i="4"/>
  <c r="FP17" i="4" s="1"/>
  <c r="FO11" i="4"/>
  <c r="FP11" i="4" s="1"/>
  <c r="FP20" i="4" l="1"/>
  <c r="FQ10" i="4" l="1"/>
  <c r="FQ19" i="4"/>
  <c r="FQ15" i="4"/>
  <c r="FQ12" i="4"/>
  <c r="FQ14" i="4"/>
  <c r="FQ11" i="4"/>
  <c r="FQ16" i="4"/>
  <c r="FQ17" i="4"/>
  <c r="FQ18" i="4"/>
  <c r="FQ13" i="4"/>
  <c r="FQ9" i="4"/>
  <c r="FT16" i="4" l="1"/>
  <c r="FT12" i="4"/>
  <c r="FT19" i="4"/>
  <c r="FT17" i="4"/>
  <c r="FQ20" i="4"/>
  <c r="FR20" i="4" s="1"/>
  <c r="FT9" i="4"/>
  <c r="FT15" i="4"/>
  <c r="FT13" i="4"/>
  <c r="FT11" i="4"/>
  <c r="FT18" i="4"/>
  <c r="FT14" i="4"/>
  <c r="FT10" i="4"/>
  <c r="FS20" i="4" l="1"/>
  <c r="FU15" i="4" l="1"/>
  <c r="FV15" i="4" s="1"/>
  <c r="FU10" i="4"/>
  <c r="FV10" i="4" s="1"/>
  <c r="FU13" i="4"/>
  <c r="FV13" i="4" s="1"/>
  <c r="FU16" i="4"/>
  <c r="FV16" i="4" s="1"/>
  <c r="FU14" i="4"/>
  <c r="FV14" i="4" s="1"/>
  <c r="FU17" i="4"/>
  <c r="FV17" i="4" s="1"/>
  <c r="FU18" i="4"/>
  <c r="FV18" i="4" s="1"/>
  <c r="FU9" i="4"/>
  <c r="FV9" i="4" s="1"/>
  <c r="FU11" i="4"/>
  <c r="FV11" i="4" s="1"/>
  <c r="FU12" i="4"/>
  <c r="FV12" i="4" s="1"/>
  <c r="FU19" i="4"/>
  <c r="FV19" i="4" s="1"/>
  <c r="FV20" i="4" l="1"/>
  <c r="FW19" i="4" l="1"/>
  <c r="FW17" i="4"/>
  <c r="FW9" i="4"/>
  <c r="FW13" i="4"/>
  <c r="FW18" i="4"/>
  <c r="FW14" i="4"/>
  <c r="FW15" i="4"/>
  <c r="FW16" i="4"/>
  <c r="FW11" i="4"/>
  <c r="FW10" i="4"/>
  <c r="FW12" i="4"/>
  <c r="FZ15" i="4" l="1"/>
  <c r="FZ13" i="4"/>
  <c r="FZ17" i="4"/>
  <c r="FZ16" i="4"/>
  <c r="FZ12" i="4"/>
  <c r="FW20" i="4"/>
  <c r="FX20" i="4" s="1"/>
  <c r="FZ9" i="4"/>
  <c r="FZ10" i="4"/>
  <c r="FZ14" i="4"/>
  <c r="FZ11" i="4"/>
  <c r="FZ18" i="4"/>
  <c r="FZ19" i="4"/>
  <c r="FY20" i="4" l="1"/>
  <c r="GA11" i="4" l="1"/>
  <c r="GB11" i="4" s="1"/>
  <c r="GA15" i="4"/>
  <c r="GB15" i="4" s="1"/>
  <c r="GA14" i="4"/>
  <c r="GB14" i="4" s="1"/>
  <c r="GA12" i="4"/>
  <c r="GB12" i="4" s="1"/>
  <c r="GA17" i="4"/>
  <c r="GB17" i="4" s="1"/>
  <c r="GA13" i="4"/>
  <c r="GB13" i="4" s="1"/>
  <c r="GA10" i="4"/>
  <c r="GB10" i="4" s="1"/>
  <c r="GA18" i="4"/>
  <c r="GB18" i="4" s="1"/>
  <c r="GA19" i="4"/>
  <c r="GB19" i="4" s="1"/>
  <c r="GA16" i="4"/>
  <c r="GB16" i="4" s="1"/>
  <c r="GA9" i="4"/>
  <c r="GB9" i="4" s="1"/>
  <c r="GB20" i="4" l="1"/>
  <c r="GC17" i="4" s="1"/>
  <c r="GC16" i="4" l="1"/>
  <c r="GF16" i="4" s="1"/>
  <c r="GC13" i="4"/>
  <c r="GF13" i="4" s="1"/>
  <c r="GC9" i="4"/>
  <c r="GC12" i="4"/>
  <c r="GF12" i="4" s="1"/>
  <c r="GC14" i="4"/>
  <c r="GF14" i="4" s="1"/>
  <c r="GC19" i="4"/>
  <c r="GF19" i="4" s="1"/>
  <c r="GC15" i="4"/>
  <c r="GF15" i="4" s="1"/>
  <c r="GC11" i="4"/>
  <c r="GF11" i="4" s="1"/>
  <c r="GC10" i="4"/>
  <c r="GF10" i="4" s="1"/>
  <c r="GC18" i="4"/>
  <c r="GF18" i="4" s="1"/>
  <c r="GF17" i="4"/>
  <c r="GC20" i="4" l="1"/>
  <c r="GD20" i="4" s="1"/>
  <c r="GF9" i="4"/>
  <c r="GE20" i="4" s="1"/>
  <c r="GG16" i="4" s="1"/>
  <c r="GH16" i="4" l="1"/>
  <c r="GG12" i="4"/>
  <c r="GH12" i="4" s="1"/>
  <c r="GG19" i="4"/>
  <c r="GH19" i="4" s="1"/>
  <c r="GG9" i="4"/>
  <c r="GH9" i="4" s="1"/>
  <c r="GG14" i="4"/>
  <c r="GH14" i="4" s="1"/>
  <c r="GG18" i="4"/>
  <c r="GH18" i="4" s="1"/>
  <c r="GG11" i="4"/>
  <c r="GH11" i="4" s="1"/>
  <c r="GG13" i="4"/>
  <c r="GH13" i="4" s="1"/>
  <c r="GG15" i="4"/>
  <c r="GH15" i="4" s="1"/>
  <c r="GG10" i="4"/>
  <c r="GH10" i="4" s="1"/>
  <c r="GG17" i="4"/>
  <c r="GH17" i="4" s="1"/>
  <c r="GH20" i="4" l="1"/>
  <c r="GI17" i="4" s="1"/>
  <c r="GJ17" i="4" s="1"/>
  <c r="GK17" i="4" l="1"/>
  <c r="GI13" i="4"/>
  <c r="GJ13" i="4" s="1"/>
  <c r="GK13" i="4" s="1"/>
  <c r="GI10" i="4"/>
  <c r="GJ10" i="4" s="1"/>
  <c r="GK10" i="4" s="1"/>
  <c r="GI11" i="4"/>
  <c r="GJ11" i="4" s="1"/>
  <c r="GK11" i="4" s="1"/>
  <c r="GL11" i="4" s="1"/>
  <c r="GI19" i="4"/>
  <c r="GJ19" i="4" s="1"/>
  <c r="GI9" i="4"/>
  <c r="GJ9" i="4" s="1"/>
  <c r="GI18" i="4"/>
  <c r="GJ18" i="4" s="1"/>
  <c r="GK18" i="4" s="1"/>
  <c r="GI12" i="4"/>
  <c r="GJ12" i="4" s="1"/>
  <c r="GK12" i="4" s="1"/>
  <c r="GI14" i="4"/>
  <c r="GJ14" i="4" s="1"/>
  <c r="GK14" i="4" s="1"/>
  <c r="GI15" i="4"/>
  <c r="GJ15" i="4" s="1"/>
  <c r="GK15" i="4" s="1"/>
  <c r="GI16" i="4"/>
  <c r="GJ16" i="4" s="1"/>
  <c r="GK16" i="4" s="1"/>
  <c r="GL17" i="4" l="1"/>
  <c r="GL15" i="4"/>
  <c r="GL12" i="4"/>
  <c r="GL13" i="4"/>
  <c r="GL16" i="4"/>
  <c r="GL14" i="4"/>
  <c r="GL18" i="4"/>
  <c r="GL10" i="4"/>
  <c r="GK19" i="4"/>
  <c r="GI20" i="4"/>
  <c r="GK9" i="4"/>
  <c r="GJ20" i="4"/>
  <c r="GK20" i="4" s="1"/>
  <c r="GK21" i="4" l="1"/>
  <c r="GL9" i="4"/>
  <c r="GL19" i="4"/>
</calcChain>
</file>

<file path=xl/sharedStrings.xml><?xml version="1.0" encoding="utf-8"?>
<sst xmlns="http://schemas.openxmlformats.org/spreadsheetml/2006/main" count="1501" uniqueCount="215">
  <si>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</si>
  <si>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</si>
  <si>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</si>
  <si>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</si>
  <si>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</si>
  <si>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</si>
  <si>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</si>
  <si>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</si>
  <si>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</si>
  <si>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</si>
  <si>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</si>
  <si>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</si>
  <si>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</si>
  <si>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</si>
  <si>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</si>
  <si>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</si>
  <si>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</si>
  <si>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</si>
  <si>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</si>
  <si>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</si>
  <si>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</si>
  <si>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</si>
  <si>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</si>
  <si>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</si>
  <si>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</si>
  <si>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</si>
  <si>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</si>
  <si>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</si>
  <si>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</si>
  <si>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</si>
  <si>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</si>
  <si>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</si>
  <si>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</si>
  <si>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</si>
  <si>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</si>
  <si>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</si>
  <si>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</si>
  <si>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</si>
  <si>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</si>
  <si>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</si>
  <si>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</si>
  <si>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</si>
  <si>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</si>
  <si>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</si>
  <si>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</si>
  <si>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</si>
  <si>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</si>
  <si>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</si>
  <si>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</si>
  <si>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</si>
  <si>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</si>
  <si>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</si>
  <si>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</si>
  <si>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</si>
  <si>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</si>
  <si>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</si>
  <si>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</si>
  <si>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</si>
  <si>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</si>
  <si>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</si>
  <si>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</si>
  <si>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</si>
  <si>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</si>
  <si>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</si>
  <si>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</si>
  <si>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</si>
  <si>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</si>
  <si>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</si>
  <si>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</si>
  <si>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</si>
  <si>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</si>
  <si>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</si>
  <si>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</si>
  <si>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</si>
  <si>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</si>
  <si>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</si>
  <si>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</si>
  <si>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</si>
  <si>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</si>
  <si>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</si>
  <si>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</si>
  <si>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</si>
  <si>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</si>
  <si>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</si>
  <si>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</si>
  <si>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</si>
  <si>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</si>
  <si>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</si>
  <si>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</si>
  <si>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</si>
  <si>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</si>
  <si>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</si>
  <si>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</si>
  <si>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</si>
  <si>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</si>
  <si>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</si>
  <si>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</si>
  <si>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</si>
  <si>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</si>
  <si>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</si>
  <si>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</si>
  <si>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</si>
  <si>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</si>
  <si>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</si>
  <si>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</si>
  <si>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</si>
  <si>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</si>
  <si>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</si>
  <si>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</si>
  <si>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</si>
  <si>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</si>
  <si>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</si>
  <si>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</si>
  <si>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</si>
  <si>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</si>
  <si>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</si>
  <si>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</si>
  <si>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</si>
  <si>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</si>
  <si>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</si>
  <si>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</si>
  <si>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</si>
  <si>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</si>
  <si>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</si>
  <si>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</si>
  <si>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</si>
  <si>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</si>
  <si>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</si>
  <si>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</si>
  <si>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</si>
  <si>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</si>
  <si>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</si>
  <si>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</si>
  <si>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</si>
  <si>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</si>
  <si>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</si>
  <si>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</si>
  <si>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</si>
  <si>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</si>
  <si>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</si>
  <si>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</si>
  <si>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</si>
  <si>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</si>
  <si>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</si>
  <si>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</si>
  <si>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</si>
  <si>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</si>
  <si>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</si>
  <si>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</si>
  <si>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</si>
  <si>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</si>
  <si>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</si>
  <si>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</si>
  <si>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</si>
  <si>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</si>
  <si>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</si>
  <si>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</si>
  <si>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</si>
  <si>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</si>
  <si>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</si>
  <si>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</si>
  <si>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</si>
  <si>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</si>
  <si>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</si>
  <si>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</si>
  <si>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</si>
  <si>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</si>
  <si>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</si>
  <si>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</si>
  <si>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</si>
  <si>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</si>
  <si>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</si>
  <si>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</si>
  <si>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Бакинское сельское поселени</t>
  </si>
  <si>
    <t>Голубовское сельское поселение</t>
  </si>
  <si>
    <t>Евлантьевское сельское поселение</t>
  </si>
  <si>
    <t>Ельничное сельское поселение</t>
  </si>
  <si>
    <t>Кейзесское сельское поселение</t>
  </si>
  <si>
    <t>Кукарское сельское поселение</t>
  </si>
  <si>
    <t>Новоуйское сельское поселение</t>
  </si>
  <si>
    <t>Рагозинское сельское поселение</t>
  </si>
  <si>
    <t>Саратовское сельское поселение</t>
  </si>
  <si>
    <t>Седельниковское сельское поселение</t>
  </si>
  <si>
    <t>Унарское сельское поселение</t>
  </si>
  <si>
    <t>ед.</t>
  </si>
  <si>
    <t>кв. км</t>
  </si>
  <si>
    <t>км.</t>
  </si>
  <si>
    <t>человек/кв.км</t>
  </si>
  <si>
    <t xml:space="preserve">Численность постоянного населения </t>
  </si>
  <si>
    <t>Численность постоянного населения на начало текущего года</t>
  </si>
  <si>
    <t>Выравнивание исходя из численности постоянного населения</t>
  </si>
  <si>
    <r>
      <t xml:space="preserve">Коэффициент расселения населения    </t>
    </r>
    <r>
      <rPr>
        <b/>
        <i/>
        <sz val="9"/>
        <rFont val="Times New Roman"/>
        <family val="1"/>
        <charset val="204"/>
      </rPr>
      <t>Крассi</t>
    </r>
    <r>
      <rPr>
        <i/>
        <sz val="9"/>
        <rFont val="Times New Roman"/>
        <family val="1"/>
        <charset val="204"/>
      </rPr>
      <t xml:space="preserve">
</t>
    </r>
  </si>
  <si>
    <r>
      <t xml:space="preserve">Коэффициент удаленности       </t>
    </r>
    <r>
      <rPr>
        <b/>
        <i/>
        <sz val="9"/>
        <rFont val="Times New Roman"/>
        <family val="1"/>
        <charset val="204"/>
      </rPr>
      <t>Кудалi</t>
    </r>
    <r>
      <rPr>
        <i/>
        <sz val="9"/>
        <rFont val="Times New Roman"/>
        <family val="1"/>
        <charset val="204"/>
      </rPr>
      <t xml:space="preserve">
</t>
    </r>
  </si>
  <si>
    <r>
      <t xml:space="preserve">Коэффициент плотности населения поселений                          </t>
    </r>
    <r>
      <rPr>
        <b/>
        <i/>
        <sz val="9"/>
        <rFont val="Times New Roman"/>
        <family val="1"/>
        <charset val="204"/>
      </rPr>
      <t>Кплi</t>
    </r>
  </si>
  <si>
    <r>
      <t xml:space="preserve">Коэффициент дифференциации сельских поселений по численности населения                                                                 </t>
    </r>
    <r>
      <rPr>
        <b/>
        <i/>
        <sz val="9"/>
        <rFont val="Times New Roman"/>
        <family val="1"/>
        <charset val="204"/>
      </rPr>
      <t>Кчi</t>
    </r>
    <r>
      <rPr>
        <i/>
        <sz val="9"/>
        <rFont val="Times New Roman"/>
        <family val="1"/>
        <charset val="204"/>
      </rPr>
      <t xml:space="preserve">
</t>
    </r>
  </si>
  <si>
    <t>Крассi=1+(((НПунi/Площi)/(ƩНПун/ƩПлощ))/11)</t>
  </si>
  <si>
    <t>Кудалi=2-(Удал/(Удалi+Удал))</t>
  </si>
  <si>
    <t>Кплi=2-(Нплотi+Нплот)/(Нплотmax+Нплот)</t>
  </si>
  <si>
    <t>Поправочный коэффициент расходных потребностей           КРПi = 1+(Крассi* Кудалi* Кплi* Кчi)</t>
  </si>
  <si>
    <t>на 01.01.2022</t>
  </si>
  <si>
    <t>2023 год</t>
  </si>
  <si>
    <t xml:space="preserve">Количество населенных пунктов в поселении  на 01.01.2022              НПунi
</t>
  </si>
  <si>
    <t xml:space="preserve">Площадь поселения  на 01.01.2022      Площi
</t>
  </si>
  <si>
    <t xml:space="preserve">Удаленность от районного центра  на 01.01.2022   Удалi
</t>
  </si>
  <si>
    <t>Плотность населения на 01.01.2022     Нплотi=Нi/Площi</t>
  </si>
  <si>
    <t xml:space="preserve"> </t>
  </si>
  <si>
    <t>на 01.01.2024</t>
  </si>
  <si>
    <t xml:space="preserve">Количество населенных пунктов в поселении  на 01.01.2024              НПунi
</t>
  </si>
  <si>
    <t xml:space="preserve">Площадь поселения  на 01.01.2024    Площi
</t>
  </si>
  <si>
    <t xml:space="preserve">Удаленность от районного центра  на 01.01.2024   Удалi
</t>
  </si>
  <si>
    <t>Плотность населения на 01.01.2024     Нплотi=Нi/Площi</t>
  </si>
  <si>
    <t xml:space="preserve">Кчi принимается равным 8,5565 для сельских поселений с численностью постоянного населения до 50 человек,
 равным 5,1515 для сельских поселений с численностью постоянного населения от 51 до 100 человек, 
равным 2,8500 для сельских поселений с численностью постоянного населения от 101 до 200 человек,
 равным 2,5210 для сельских поселений с численностью постоянного населения от 201 до 300 человек, 
равным 2,4100 для сельских поселений с численностью постоянного населения от 301 до 400 человек, 
равным 2,3210 для сельских поселений с численностью постоянного населения от 401 до 500 человек, 
равным 1,8755 для сельских поселений с численностью постоянного населения от 501 до 1000 человек,
 равным 1,4465 для сельских поселений с численностью постоянного населения свыше 1000 человек.
</t>
  </si>
  <si>
    <t>2027 год</t>
  </si>
  <si>
    <t>Расчет размера дотации бюджетам поселений, входящих в состав Седельниковского муниципального района Омской области, на выравнивание бюджетной обеспеченности на 2027 год</t>
  </si>
  <si>
    <t>Объем дотаций, распределенный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</si>
</sst>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0&quot;   &quot;"/>
  </numFmts>
  <fonts count="5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sz val="12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5" tint="0.79998168889431442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8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32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3" fontId="33" fillId="0" borderId="28" xfId="0" applyNumberFormat="1" applyFont="1" applyFill="1" applyBorder="1" applyAlignment="1">
      <alignment horizontal="center" vertical="center" wrapText="1"/>
    </xf>
    <xf numFmtId="3" fontId="33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30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2" fillId="30" borderId="43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3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49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2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6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49" xfId="0" applyFont="1" applyFill="1" applyBorder="1" applyAlignment="1">
      <alignment horizontal="center" vertical="center"/>
    </xf>
    <xf numFmtId="0" fontId="32" fillId="0" borderId="49" xfId="0" applyFont="1" applyBorder="1" applyAlignment="1">
      <alignment horizontal="center" vertical="center"/>
    </xf>
    <xf numFmtId="0" fontId="39" fillId="42" borderId="33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3" fontId="33" fillId="0" borderId="47" xfId="0" applyNumberFormat="1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164" fontId="38" fillId="42" borderId="16" xfId="0" applyNumberFormat="1" applyFont="1" applyFill="1" applyBorder="1" applyAlignment="1">
      <alignment horizontal="center" vertical="center" wrapText="1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4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2" xfId="0" applyFont="1" applyFill="1" applyBorder="1" applyAlignment="1">
      <alignment horizontal="center" vertical="center" wrapText="1"/>
    </xf>
    <xf numFmtId="0" fontId="32" fillId="26" borderId="47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3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0" fontId="18" fillId="39" borderId="49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5" fontId="30" fillId="48" borderId="28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42" fillId="0" borderId="62" xfId="0" applyFont="1" applyFill="1" applyBorder="1" applyAlignment="1">
      <alignment wrapText="1"/>
    </xf>
    <xf numFmtId="0" fontId="42" fillId="0" borderId="65" xfId="0" applyFont="1" applyFill="1" applyBorder="1" applyAlignment="1">
      <alignment wrapText="1"/>
    </xf>
    <xf numFmtId="167" fontId="30" fillId="0" borderId="68" xfId="0" applyNumberFormat="1" applyFont="1" applyFill="1" applyBorder="1" applyAlignment="1">
      <alignment horizontal="right" vertical="center"/>
    </xf>
    <xf numFmtId="0" fontId="21" fillId="25" borderId="60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23" fillId="0" borderId="67" xfId="0" applyFont="1" applyFill="1" applyBorder="1" applyAlignment="1">
      <alignment wrapText="1"/>
    </xf>
    <xf numFmtId="164" fontId="18" fillId="0" borderId="49" xfId="0" applyNumberFormat="1" applyFont="1" applyFill="1" applyBorder="1" applyAlignment="1">
      <alignment horizontal="center" vertical="center"/>
    </xf>
    <xf numFmtId="164" fontId="18" fillId="0" borderId="50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35" xfId="0" applyNumberFormat="1" applyFont="1" applyFill="1" applyBorder="1" applyAlignment="1">
      <alignment horizontal="center" vertical="center"/>
    </xf>
    <xf numFmtId="0" fontId="32" fillId="0" borderId="69" xfId="0" applyFont="1" applyBorder="1" applyAlignment="1">
      <alignment vertical="top" wrapText="1"/>
    </xf>
    <xf numFmtId="167" fontId="21" fillId="28" borderId="25" xfId="0" applyNumberFormat="1" applyFont="1" applyFill="1" applyBorder="1" applyAlignment="1">
      <alignment horizontal="right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49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18" fillId="34" borderId="37" xfId="0" applyNumberFormat="1" applyFont="1" applyFill="1" applyBorder="1" applyAlignment="1">
      <alignment vertical="center"/>
    </xf>
    <xf numFmtId="0" fontId="34" fillId="45" borderId="29" xfId="0" applyFont="1" applyFill="1" applyBorder="1" applyAlignment="1">
      <alignment horizontal="center" vertical="center" wrapText="1"/>
    </xf>
    <xf numFmtId="0" fontId="33" fillId="46" borderId="54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7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4" xfId="0" applyNumberFormat="1" applyFont="1" applyFill="1" applyBorder="1" applyAlignment="1">
      <alignment vertical="center"/>
    </xf>
    <xf numFmtId="171" fontId="18" fillId="26" borderId="44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167" fontId="21" fillId="36" borderId="54" xfId="0" applyNumberFormat="1" applyFont="1" applyFill="1" applyBorder="1" applyAlignment="1">
      <alignment horizontal="right" vertical="center"/>
    </xf>
    <xf numFmtId="167" fontId="18" fillId="26" borderId="45" xfId="0" applyNumberFormat="1" applyFont="1" applyFill="1" applyBorder="1" applyAlignment="1">
      <alignment vertical="center"/>
    </xf>
    <xf numFmtId="0" fontId="22" fillId="30" borderId="47" xfId="0" applyFont="1" applyFill="1" applyBorder="1" applyAlignment="1">
      <alignment horizontal="center" vertical="center"/>
    </xf>
    <xf numFmtId="0" fontId="22" fillId="43" borderId="70" xfId="0" applyFont="1" applyFill="1" applyBorder="1" applyAlignment="1">
      <alignment horizontal="center" vertical="center"/>
    </xf>
    <xf numFmtId="166" fontId="18" fillId="0" borderId="24" xfId="0" applyNumberFormat="1" applyFont="1" applyFill="1" applyBorder="1" applyAlignment="1">
      <alignment vertical="center"/>
    </xf>
    <xf numFmtId="172" fontId="34" fillId="31" borderId="22" xfId="0" applyNumberFormat="1" applyFont="1" applyFill="1" applyBorder="1" applyAlignment="1">
      <alignment horizontal="center" vertical="center" wrapText="1"/>
    </xf>
    <xf numFmtId="164" fontId="38" fillId="42" borderId="54" xfId="0" applyNumberFormat="1" applyFont="1" applyFill="1" applyBorder="1" applyAlignment="1">
      <alignment horizontal="center" vertical="center" wrapText="1"/>
    </xf>
    <xf numFmtId="164" fontId="38" fillId="42" borderId="25" xfId="0" applyNumberFormat="1" applyFont="1" applyFill="1" applyBorder="1" applyAlignment="1">
      <alignment horizontal="center" vertical="center" wrapText="1"/>
    </xf>
    <xf numFmtId="0" fontId="18" fillId="0" borderId="53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42" borderId="50" xfId="0" applyFont="1" applyFill="1" applyBorder="1" applyAlignment="1">
      <alignment horizontal="center" vertical="center" wrapText="1"/>
    </xf>
    <xf numFmtId="0" fontId="21" fillId="0" borderId="47" xfId="0" applyFont="1" applyFill="1" applyBorder="1" applyAlignment="1">
      <alignment vertical="center"/>
    </xf>
    <xf numFmtId="164" fontId="38" fillId="42" borderId="42" xfId="0" applyNumberFormat="1" applyFont="1" applyFill="1" applyBorder="1" applyAlignment="1">
      <alignment horizontal="center" vertical="center" wrapText="1"/>
    </xf>
    <xf numFmtId="164" fontId="18" fillId="0" borderId="69" xfId="0" applyNumberFormat="1" applyFont="1" applyFill="1" applyBorder="1" applyAlignment="1">
      <alignment horizontal="center" vertical="center"/>
    </xf>
    <xf numFmtId="0" fontId="18" fillId="0" borderId="67" xfId="0" applyFont="1" applyFill="1" applyBorder="1" applyAlignment="1">
      <alignment horizontal="center" vertical="center"/>
    </xf>
    <xf numFmtId="0" fontId="18" fillId="0" borderId="73" xfId="0" applyFont="1" applyFill="1" applyBorder="1" applyAlignment="1">
      <alignment horizontal="center" vertical="center"/>
    </xf>
    <xf numFmtId="0" fontId="18" fillId="0" borderId="74" xfId="0" applyFont="1" applyFill="1" applyBorder="1" applyAlignment="1">
      <alignment horizontal="center" vertical="center"/>
    </xf>
    <xf numFmtId="0" fontId="18" fillId="0" borderId="69" xfId="0" applyFont="1" applyFill="1" applyBorder="1" applyAlignment="1">
      <alignment horizontal="center" vertical="center"/>
    </xf>
    <xf numFmtId="0" fontId="18" fillId="0" borderId="75" xfId="0" applyFont="1" applyFill="1" applyBorder="1" applyAlignment="1">
      <alignment horizontal="center" vertical="center"/>
    </xf>
    <xf numFmtId="0" fontId="42" fillId="0" borderId="49" xfId="0" applyFont="1" applyFill="1" applyBorder="1" applyAlignment="1">
      <alignment wrapText="1"/>
    </xf>
    <xf numFmtId="0" fontId="23" fillId="0" borderId="50" xfId="0" applyFont="1" applyFill="1" applyBorder="1" applyAlignment="1">
      <alignment horizontal="left" vertical="center" wrapText="1"/>
    </xf>
    <xf numFmtId="164" fontId="18" fillId="0" borderId="57" xfId="0" applyNumberFormat="1" applyFont="1" applyFill="1" applyBorder="1" applyAlignment="1">
      <alignment horizontal="center" vertical="center"/>
    </xf>
    <xf numFmtId="4" fontId="18" fillId="0" borderId="49" xfId="0" applyNumberFormat="1" applyFont="1" applyFill="1" applyBorder="1" applyAlignment="1">
      <alignment horizontal="center" vertical="center"/>
    </xf>
    <xf numFmtId="0" fontId="22" fillId="30" borderId="33" xfId="0" applyFont="1" applyFill="1" applyBorder="1" applyAlignment="1">
      <alignment horizontal="center" vertical="center"/>
    </xf>
    <xf numFmtId="164" fontId="18" fillId="0" borderId="51" xfId="0" applyNumberFormat="1" applyFont="1" applyFill="1" applyBorder="1" applyAlignment="1">
      <alignment horizontal="center" vertical="center"/>
    </xf>
    <xf numFmtId="164" fontId="18" fillId="26" borderId="50" xfId="0" applyNumberFormat="1" applyFont="1" applyFill="1" applyBorder="1" applyAlignment="1">
      <alignment horizontal="center" vertical="center"/>
    </xf>
    <xf numFmtId="172" fontId="18" fillId="26" borderId="57" xfId="0" applyNumberFormat="1" applyFont="1" applyFill="1" applyBorder="1" applyAlignment="1">
      <alignment vertical="center"/>
    </xf>
    <xf numFmtId="0" fontId="18" fillId="26" borderId="57" xfId="0" applyFont="1" applyFill="1" applyBorder="1" applyAlignment="1">
      <alignment vertical="center"/>
    </xf>
    <xf numFmtId="0" fontId="18" fillId="26" borderId="78" xfId="0" applyFont="1" applyFill="1" applyBorder="1" applyAlignment="1">
      <alignment vertical="center"/>
    </xf>
    <xf numFmtId="172" fontId="21" fillId="0" borderId="70" xfId="0" applyNumberFormat="1" applyFont="1" applyFill="1" applyBorder="1" applyAlignment="1">
      <alignment horizontal="center" vertical="center"/>
    </xf>
    <xf numFmtId="164" fontId="18" fillId="26" borderId="76" xfId="0" applyNumberFormat="1" applyFont="1" applyFill="1" applyBorder="1" applyAlignment="1">
      <alignment horizontal="center" vertical="center"/>
    </xf>
    <xf numFmtId="164" fontId="21" fillId="0" borderId="33" xfId="0" applyNumberFormat="1" applyFont="1" applyFill="1" applyBorder="1" applyAlignment="1">
      <alignment horizontal="center" vertical="center"/>
    </xf>
    <xf numFmtId="164" fontId="18" fillId="0" borderId="56" xfId="0" applyNumberFormat="1" applyFont="1" applyFill="1" applyBorder="1" applyAlignment="1">
      <alignment horizontal="center" vertical="center"/>
    </xf>
    <xf numFmtId="164" fontId="18" fillId="26" borderId="78" xfId="0" applyNumberFormat="1" applyFont="1" applyFill="1" applyBorder="1" applyAlignment="1">
      <alignment horizontal="center" vertical="center"/>
    </xf>
    <xf numFmtId="164" fontId="21" fillId="0" borderId="70" xfId="0" applyNumberFormat="1" applyFont="1" applyFill="1" applyBorder="1" applyAlignment="1">
      <alignment horizontal="center" vertical="center"/>
    </xf>
    <xf numFmtId="3" fontId="18" fillId="0" borderId="77" xfId="0" applyNumberFormat="1" applyFont="1" applyFill="1" applyBorder="1" applyAlignment="1">
      <alignment horizontal="center" vertical="center"/>
    </xf>
    <xf numFmtId="3" fontId="21" fillId="0" borderId="15" xfId="0" applyNumberFormat="1" applyFont="1" applyFill="1" applyBorder="1" applyAlignment="1">
      <alignment horizontal="center" vertical="center"/>
    </xf>
    <xf numFmtId="4" fontId="22" fillId="30" borderId="33" xfId="0" applyNumberFormat="1" applyFont="1" applyFill="1" applyBorder="1" applyAlignment="1">
      <alignment horizontal="center" vertical="center"/>
    </xf>
    <xf numFmtId="4" fontId="21" fillId="0" borderId="33" xfId="0" applyNumberFormat="1" applyFont="1" applyFill="1" applyBorder="1" applyAlignment="1">
      <alignment horizontal="center" vertical="center"/>
    </xf>
    <xf numFmtId="164" fontId="39" fillId="43" borderId="33" xfId="0" applyNumberFormat="1" applyFont="1" applyFill="1" applyBorder="1" applyAlignment="1">
      <alignment horizontal="center" vertical="center" wrapText="1"/>
    </xf>
    <xf numFmtId="0" fontId="22" fillId="43" borderId="33" xfId="0" applyFont="1" applyFill="1" applyBorder="1" applyAlignment="1">
      <alignment horizontal="center" vertical="center"/>
    </xf>
    <xf numFmtId="0" fontId="22" fillId="30" borderId="64" xfId="0" applyFont="1" applyFill="1" applyBorder="1" applyAlignment="1">
      <alignment horizontal="center" vertical="center"/>
    </xf>
    <xf numFmtId="0" fontId="44" fillId="42" borderId="53" xfId="0" applyFont="1" applyFill="1" applyBorder="1" applyAlignment="1">
      <alignment horizontal="center" vertical="center" wrapText="1"/>
    </xf>
    <xf numFmtId="172" fontId="18" fillId="26" borderId="79" xfId="0" applyNumberFormat="1" applyFont="1" applyFill="1" applyBorder="1" applyAlignment="1">
      <alignment vertical="center"/>
    </xf>
    <xf numFmtId="0" fontId="22" fillId="40" borderId="52" xfId="0" applyFont="1" applyFill="1" applyBorder="1" applyAlignment="1">
      <alignment horizontal="center" vertical="center"/>
    </xf>
    <xf numFmtId="172" fontId="18" fillId="39" borderId="45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52" xfId="0" applyFont="1" applyFill="1" applyBorder="1" applyAlignment="1">
      <alignment horizontal="center" vertical="center"/>
    </xf>
    <xf numFmtId="172" fontId="34" fillId="31" borderId="51" xfId="0" applyNumberFormat="1" applyFont="1" applyFill="1" applyBorder="1" applyAlignment="1">
      <alignment horizontal="center" vertical="center" wrapText="1"/>
    </xf>
    <xf numFmtId="171" fontId="18" fillId="0" borderId="16" xfId="0" applyNumberFormat="1" applyFont="1" applyFill="1" applyBorder="1" applyAlignment="1">
      <alignment horizontal="center" vertical="center"/>
    </xf>
    <xf numFmtId="0" fontId="32" fillId="0" borderId="51" xfId="0" applyFont="1" applyFill="1" applyBorder="1" applyAlignment="1">
      <alignment horizontal="center" vertical="center"/>
    </xf>
    <xf numFmtId="0" fontId="35" fillId="0" borderId="80" xfId="0" applyFont="1" applyFill="1" applyBorder="1" applyAlignment="1">
      <alignment wrapText="1"/>
    </xf>
    <xf numFmtId="0" fontId="32" fillId="0" borderId="22" xfId="0" applyFont="1" applyBorder="1" applyAlignment="1">
      <alignment horizontal="center" vertical="center"/>
    </xf>
    <xf numFmtId="0" fontId="23" fillId="0" borderId="81" xfId="0" applyFont="1" applyFill="1" applyBorder="1" applyAlignment="1">
      <alignment wrapText="1"/>
    </xf>
    <xf numFmtId="0" fontId="32" fillId="0" borderId="50" xfId="0" applyFont="1" applyBorder="1" applyAlignment="1">
      <alignment horizontal="center" vertical="center"/>
    </xf>
    <xf numFmtId="0" fontId="42" fillId="0" borderId="30" xfId="0" applyFont="1" applyFill="1" applyBorder="1" applyAlignment="1">
      <alignment wrapText="1"/>
    </xf>
    <xf numFmtId="0" fontId="32" fillId="39" borderId="47" xfId="0" applyFont="1" applyFill="1" applyBorder="1" applyAlignment="1">
      <alignment horizontal="center" vertical="center" wrapText="1"/>
    </xf>
    <xf numFmtId="0" fontId="42" fillId="0" borderId="69" xfId="0" applyFont="1" applyFill="1" applyBorder="1" applyAlignment="1">
      <alignment wrapText="1"/>
    </xf>
    <xf numFmtId="0" fontId="42" fillId="0" borderId="75" xfId="0" applyFont="1" applyFill="1" applyBorder="1" applyAlignment="1">
      <alignment wrapText="1"/>
    </xf>
    <xf numFmtId="4" fontId="43" fillId="0" borderId="56" xfId="0" applyNumberFormat="1" applyFont="1" applyBorder="1" applyAlignment="1">
      <alignment horizontal="center"/>
    </xf>
    <xf numFmtId="4" fontId="43" fillId="0" borderId="57" xfId="0" applyNumberFormat="1" applyFont="1" applyBorder="1" applyAlignment="1">
      <alignment horizontal="center"/>
    </xf>
    <xf numFmtId="0" fontId="22" fillId="30" borderId="20" xfId="0" applyFont="1" applyFill="1" applyBorder="1" applyAlignment="1">
      <alignment horizontal="center" vertical="center"/>
    </xf>
    <xf numFmtId="174" fontId="46" fillId="0" borderId="11" xfId="0" applyNumberFormat="1" applyFont="1" applyBorder="1" applyAlignment="1" applyProtection="1">
      <alignment horizontal="center"/>
      <protection locked="0"/>
    </xf>
    <xf numFmtId="0" fontId="18" fillId="0" borderId="82" xfId="0" applyFont="1" applyBorder="1" applyAlignment="1">
      <alignment horizontal="center" vertical="center"/>
    </xf>
    <xf numFmtId="0" fontId="18" fillId="0" borderId="69" xfId="0" applyFont="1" applyBorder="1" applyAlignment="1">
      <alignment horizontal="center" vertical="center"/>
    </xf>
    <xf numFmtId="174" fontId="22" fillId="30" borderId="20" xfId="0" applyNumberFormat="1" applyFont="1" applyFill="1" applyBorder="1" applyAlignment="1">
      <alignment horizontal="center" vertical="center"/>
    </xf>
    <xf numFmtId="164" fontId="18" fillId="0" borderId="80" xfId="0" applyNumberFormat="1" applyFont="1" applyFill="1" applyBorder="1" applyAlignment="1">
      <alignment horizontal="center" vertical="center"/>
    </xf>
    <xf numFmtId="174" fontId="46" fillId="0" borderId="56" xfId="0" applyNumberFormat="1" applyFont="1" applyBorder="1" applyAlignment="1" applyProtection="1">
      <alignment horizontal="center"/>
      <protection locked="0"/>
    </xf>
    <xf numFmtId="174" fontId="46" fillId="0" borderId="79" xfId="0" applyNumberFormat="1" applyFont="1" applyBorder="1" applyAlignment="1" applyProtection="1">
      <alignment horizontal="center"/>
      <protection locked="0"/>
    </xf>
    <xf numFmtId="0" fontId="18" fillId="0" borderId="77" xfId="0" applyFont="1" applyBorder="1" applyAlignment="1">
      <alignment horizontal="center" vertical="center"/>
    </xf>
    <xf numFmtId="174" fontId="46" fillId="0" borderId="43" xfId="0" applyNumberFormat="1" applyFont="1" applyBorder="1" applyAlignment="1" applyProtection="1">
      <alignment horizontal="center"/>
      <protection locked="0"/>
    </xf>
    <xf numFmtId="174" fontId="46" fillId="0" borderId="22" xfId="0" applyNumberFormat="1" applyFont="1" applyBorder="1" applyAlignment="1" applyProtection="1">
      <alignment horizontal="center"/>
      <protection locked="0"/>
    </xf>
    <xf numFmtId="174" fontId="46" fillId="0" borderId="51" xfId="0" applyNumberFormat="1" applyFont="1" applyBorder="1" applyAlignment="1" applyProtection="1">
      <alignment horizontal="center"/>
      <protection locked="0"/>
    </xf>
    <xf numFmtId="174" fontId="46" fillId="0" borderId="53" xfId="0" applyNumberFormat="1" applyFont="1" applyBorder="1" applyAlignment="1" applyProtection="1">
      <alignment horizontal="center"/>
      <protection locked="0"/>
    </xf>
    <xf numFmtId="171" fontId="18" fillId="0" borderId="44" xfId="0" applyNumberFormat="1" applyFont="1" applyFill="1" applyBorder="1" applyAlignment="1">
      <alignment horizontal="center" vertical="center"/>
    </xf>
    <xf numFmtId="171" fontId="18" fillId="0" borderId="44" xfId="0" applyNumberFormat="1" applyFont="1" applyBorder="1" applyAlignment="1">
      <alignment horizontal="center"/>
    </xf>
    <xf numFmtId="172" fontId="34" fillId="31" borderId="72" xfId="0" applyNumberFormat="1" applyFont="1" applyFill="1" applyBorder="1" applyAlignment="1">
      <alignment horizontal="center" vertical="center" wrapText="1"/>
    </xf>
    <xf numFmtId="0" fontId="42" fillId="26" borderId="65" xfId="0" applyFont="1" applyFill="1" applyBorder="1" applyAlignment="1">
      <alignment wrapText="1"/>
    </xf>
    <xf numFmtId="170" fontId="18" fillId="26" borderId="49" xfId="0" applyNumberFormat="1" applyFont="1" applyFill="1" applyBorder="1" applyAlignment="1">
      <alignment vertical="center"/>
    </xf>
    <xf numFmtId="167" fontId="18" fillId="26" borderId="49" xfId="0" applyNumberFormat="1" applyFont="1" applyFill="1" applyBorder="1" applyAlignment="1">
      <alignment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25" xfId="0" applyNumberFormat="1" applyFont="1" applyFill="1" applyBorder="1" applyAlignment="1">
      <alignment horizontal="center" vertical="center"/>
    </xf>
    <xf numFmtId="171" fontId="18" fillId="0" borderId="25" xfId="0" applyNumberFormat="1" applyFont="1" applyBorder="1" applyAlignment="1">
      <alignment horizontal="center"/>
    </xf>
    <xf numFmtId="0" fontId="47" fillId="39" borderId="33" xfId="0" applyFont="1" applyFill="1" applyBorder="1" applyAlignment="1">
      <alignment horizontal="center" vertical="center" wrapText="1"/>
    </xf>
    <xf numFmtId="0" fontId="48" fillId="39" borderId="33" xfId="0" applyFont="1" applyFill="1" applyBorder="1" applyAlignment="1">
      <alignment horizontal="center" vertical="center" wrapText="1"/>
    </xf>
    <xf numFmtId="0" fontId="49" fillId="39" borderId="33" xfId="0" applyFont="1" applyFill="1" applyBorder="1" applyAlignment="1">
      <alignment horizontal="center" vertical="center"/>
    </xf>
    <xf numFmtId="4" fontId="43" fillId="39" borderId="51" xfId="0" applyNumberFormat="1" applyFont="1" applyFill="1" applyBorder="1" applyAlignment="1">
      <alignment horizontal="center" vertical="center"/>
    </xf>
    <xf numFmtId="4" fontId="43" fillId="39" borderId="49" xfId="0" applyNumberFormat="1" applyFont="1" applyFill="1" applyBorder="1" applyAlignment="1">
      <alignment horizontal="center" vertical="center"/>
    </xf>
    <xf numFmtId="4" fontId="50" fillId="39" borderId="53" xfId="0" applyNumberFormat="1" applyFont="1" applyFill="1" applyBorder="1" applyAlignment="1">
      <alignment horizontal="center" vertical="center"/>
    </xf>
    <xf numFmtId="0" fontId="21" fillId="38" borderId="66" xfId="0" applyFont="1" applyFill="1" applyBorder="1" applyAlignment="1">
      <alignment horizontal="center" vertical="center" wrapText="1"/>
    </xf>
    <xf numFmtId="0" fontId="21" fillId="38" borderId="83" xfId="0" applyFont="1" applyFill="1" applyBorder="1" applyAlignment="1">
      <alignment horizontal="center" vertical="center" wrapText="1"/>
    </xf>
    <xf numFmtId="0" fontId="21" fillId="38" borderId="55" xfId="0" applyFont="1" applyFill="1" applyBorder="1" applyAlignment="1">
      <alignment horizontal="center" vertical="center" wrapText="1"/>
    </xf>
    <xf numFmtId="0" fontId="21" fillId="45" borderId="26" xfId="0" applyFont="1" applyFill="1" applyBorder="1" applyAlignment="1">
      <alignment horizontal="center" vertical="center" wrapText="1"/>
    </xf>
    <xf numFmtId="0" fontId="18" fillId="39" borderId="33" xfId="0" applyFont="1" applyFill="1" applyBorder="1" applyAlignment="1">
      <alignment horizontal="center" vertical="center" wrapText="1"/>
    </xf>
    <xf numFmtId="167" fontId="18" fillId="26" borderId="0" xfId="0" applyNumberFormat="1" applyFont="1" applyFill="1" applyAlignment="1">
      <alignment vertical="center"/>
    </xf>
    <xf numFmtId="166" fontId="18" fillId="0" borderId="44" xfId="0" applyNumberFormat="1" applyFont="1" applyFill="1" applyBorder="1" applyAlignment="1">
      <alignment vertical="center"/>
    </xf>
    <xf numFmtId="166" fontId="18" fillId="0" borderId="0" xfId="0" applyNumberFormat="1" applyFont="1" applyAlignment="1">
      <alignment vertical="center"/>
    </xf>
    <xf numFmtId="171" fontId="18" fillId="0" borderId="23" xfId="0" applyNumberFormat="1" applyFont="1" applyFill="1" applyBorder="1" applyAlignment="1">
      <alignment horizontal="center" vertical="center"/>
    </xf>
    <xf numFmtId="166" fontId="18" fillId="0" borderId="23" xfId="0" applyNumberFormat="1" applyFont="1" applyFill="1" applyBorder="1" applyAlignment="1">
      <alignment vertical="center"/>
    </xf>
    <xf numFmtId="166" fontId="18" fillId="0" borderId="11" xfId="0" applyNumberFormat="1" applyFont="1" applyFill="1" applyBorder="1" applyAlignment="1">
      <alignment vertical="center"/>
    </xf>
    <xf numFmtId="172" fontId="34" fillId="31" borderId="11" xfId="0" applyNumberFormat="1" applyFont="1" applyFill="1" applyBorder="1" applyAlignment="1">
      <alignment horizontal="center" vertical="center" wrapText="1"/>
    </xf>
    <xf numFmtId="166" fontId="18" fillId="0" borderId="25" xfId="0" applyNumberFormat="1" applyFont="1" applyFill="1" applyBorder="1" applyAlignment="1">
      <alignment vertical="center"/>
    </xf>
    <xf numFmtId="172" fontId="34" fillId="31" borderId="43" xfId="0" applyNumberFormat="1" applyFont="1" applyFill="1" applyBorder="1" applyAlignment="1">
      <alignment horizontal="center" vertical="center" wrapText="1"/>
    </xf>
    <xf numFmtId="4" fontId="21" fillId="47" borderId="35" xfId="0" applyNumberFormat="1" applyFont="1" applyFill="1" applyBorder="1" applyAlignment="1">
      <alignment vertical="center"/>
    </xf>
    <xf numFmtId="4" fontId="21" fillId="47" borderId="11" xfId="0" applyNumberFormat="1" applyFont="1" applyFill="1" applyBorder="1" applyAlignment="1">
      <alignment vertical="center"/>
    </xf>
    <xf numFmtId="4" fontId="21" fillId="47" borderId="25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71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72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53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2" xfId="0" applyFont="1" applyFill="1" applyBorder="1" applyAlignment="1">
      <alignment horizontal="center" vertical="center" wrapText="1"/>
    </xf>
    <xf numFmtId="0" fontId="32" fillId="0" borderId="50" xfId="0" applyFont="1" applyFill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5" borderId="58" xfId="0" applyFont="1" applyFill="1" applyBorder="1" applyAlignment="1">
      <alignment horizontal="left" vertical="center" wrapText="1"/>
    </xf>
    <xf numFmtId="0" fontId="21" fillId="25" borderId="44" xfId="0" applyFont="1" applyFill="1" applyBorder="1" applyAlignment="1">
      <alignment horizontal="left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45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4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20" fillId="25" borderId="56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4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0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45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6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FFFFCC"/>
      <color rgb="FFB7F9A7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Z25"/>
  <sheetViews>
    <sheetView view="pageBreakPreview" zoomScale="90" zoomScaleNormal="90" zoomScaleSheetLayoutView="90" workbookViewId="0">
      <selection activeCell="D8" sqref="D8"/>
    </sheetView>
  </sheetViews>
  <sheetFormatPr defaultRowHeight="15.75" x14ac:dyDescent="0.2"/>
  <cols>
    <col min="1" max="1" width="7.28515625" style="1" customWidth="1"/>
    <col min="2" max="2" width="37.5703125" style="1" customWidth="1"/>
    <col min="3" max="3" width="15.140625" style="2" customWidth="1"/>
    <col min="4" max="4" width="22.42578125" style="2" customWidth="1"/>
    <col min="5" max="5" width="19.140625" style="3" customWidth="1"/>
    <col min="6" max="6" width="16.28515625" style="3" customWidth="1"/>
    <col min="7" max="7" width="17" style="3" customWidth="1"/>
    <col min="8" max="8" width="16.5703125" style="1" customWidth="1"/>
    <col min="9" max="234" width="9.140625" style="1"/>
  </cols>
  <sheetData>
    <row r="2" spans="1:8" s="4" customFormat="1" ht="41.25" customHeight="1" x14ac:dyDescent="0.2">
      <c r="A2" s="263" t="s">
        <v>72</v>
      </c>
      <c r="B2" s="263"/>
      <c r="C2" s="263"/>
      <c r="D2" s="263"/>
      <c r="E2" s="263"/>
      <c r="F2" s="263"/>
      <c r="G2" s="263"/>
      <c r="H2" s="263"/>
    </row>
    <row r="3" spans="1:8" s="4" customFormat="1" ht="16.5" x14ac:dyDescent="0.2">
      <c r="B3" s="256"/>
      <c r="C3" s="256"/>
      <c r="D3" s="256"/>
      <c r="E3" s="256"/>
      <c r="F3" s="256"/>
      <c r="G3" s="256"/>
    </row>
    <row r="4" spans="1:8" ht="16.5" thickBot="1" x14ac:dyDescent="0.25">
      <c r="B4" s="5"/>
      <c r="C4" s="6"/>
      <c r="D4" s="6"/>
    </row>
    <row r="5" spans="1:8" ht="20.25" customHeight="1" thickBot="1" x14ac:dyDescent="0.25">
      <c r="A5" s="270" t="s">
        <v>0</v>
      </c>
      <c r="B5" s="257" t="s">
        <v>7</v>
      </c>
      <c r="C5" s="260" t="s">
        <v>56</v>
      </c>
      <c r="D5" s="261"/>
      <c r="E5" s="261"/>
      <c r="F5" s="261"/>
      <c r="G5" s="261"/>
      <c r="H5" s="262"/>
    </row>
    <row r="6" spans="1:8" s="7" customFormat="1" ht="51.6" customHeight="1" x14ac:dyDescent="0.2">
      <c r="A6" s="271"/>
      <c r="B6" s="258"/>
      <c r="C6" s="85" t="s">
        <v>188</v>
      </c>
      <c r="D6" s="85" t="s">
        <v>62</v>
      </c>
      <c r="E6" s="264" t="s">
        <v>70</v>
      </c>
      <c r="F6" s="265"/>
      <c r="G6" s="265"/>
      <c r="H6" s="266"/>
    </row>
    <row r="7" spans="1:8" s="7" customFormat="1" ht="24" customHeight="1" thickBot="1" x14ac:dyDescent="0.25">
      <c r="A7" s="271"/>
      <c r="B7" s="258"/>
      <c r="C7" s="159" t="s">
        <v>206</v>
      </c>
      <c r="D7" s="160" t="s">
        <v>212</v>
      </c>
      <c r="E7" s="267"/>
      <c r="F7" s="268"/>
      <c r="G7" s="268"/>
      <c r="H7" s="269"/>
    </row>
    <row r="8" spans="1:8" s="7" customFormat="1" ht="86.25" customHeight="1" thickBot="1" x14ac:dyDescent="0.25">
      <c r="A8" s="271"/>
      <c r="B8" s="259"/>
      <c r="C8" s="158" t="s">
        <v>1</v>
      </c>
      <c r="D8" s="158" t="s">
        <v>2</v>
      </c>
      <c r="E8" s="156" t="s">
        <v>207</v>
      </c>
      <c r="F8" s="157" t="s">
        <v>208</v>
      </c>
      <c r="G8" s="86" t="s">
        <v>209</v>
      </c>
      <c r="H8" s="162" t="s">
        <v>210</v>
      </c>
    </row>
    <row r="9" spans="1:8" s="8" customFormat="1" thickBot="1" x14ac:dyDescent="0.25">
      <c r="A9" s="272"/>
      <c r="B9" s="93" t="s">
        <v>3</v>
      </c>
      <c r="C9" s="173" t="s">
        <v>5</v>
      </c>
      <c r="D9" s="93" t="s">
        <v>4</v>
      </c>
      <c r="E9" s="189" t="s">
        <v>184</v>
      </c>
      <c r="F9" s="189" t="s">
        <v>185</v>
      </c>
      <c r="G9" s="190" t="s">
        <v>186</v>
      </c>
      <c r="H9" s="153" t="s">
        <v>187</v>
      </c>
    </row>
    <row r="10" spans="1:8" s="8" customFormat="1" thickBot="1" x14ac:dyDescent="0.25">
      <c r="A10" s="34">
        <v>1</v>
      </c>
      <c r="B10" s="152">
        <v>2</v>
      </c>
      <c r="C10" s="211">
        <v>3</v>
      </c>
      <c r="D10" s="187">
        <v>4</v>
      </c>
      <c r="E10" s="173">
        <v>5</v>
      </c>
      <c r="F10" s="173">
        <v>6</v>
      </c>
      <c r="G10" s="191">
        <v>7</v>
      </c>
      <c r="H10" s="173">
        <v>8</v>
      </c>
    </row>
    <row r="11" spans="1:8" x14ac:dyDescent="0.25">
      <c r="A11" s="164">
        <v>1</v>
      </c>
      <c r="B11" s="203" t="s">
        <v>173</v>
      </c>
      <c r="C11" s="212">
        <v>93</v>
      </c>
      <c r="D11" s="209">
        <v>25117</v>
      </c>
      <c r="E11" s="174">
        <v>2</v>
      </c>
      <c r="F11" s="174">
        <v>312.3</v>
      </c>
      <c r="G11" s="182">
        <v>44</v>
      </c>
      <c r="H11" s="193">
        <f>C11/F11</f>
        <v>0.297790585975024</v>
      </c>
    </row>
    <row r="12" spans="1:8" x14ac:dyDescent="0.25">
      <c r="A12" s="165">
        <v>2</v>
      </c>
      <c r="B12" s="207" t="s">
        <v>174</v>
      </c>
      <c r="C12" s="212">
        <v>454</v>
      </c>
      <c r="D12" s="210">
        <v>308756</v>
      </c>
      <c r="E12" s="123">
        <v>5</v>
      </c>
      <c r="F12" s="123">
        <v>366.5</v>
      </c>
      <c r="G12" s="171">
        <v>7</v>
      </c>
      <c r="H12" s="176">
        <f t="shared" ref="H12:H21" si="0">C12/F12</f>
        <v>1.2387448840381992</v>
      </c>
    </row>
    <row r="13" spans="1:8" x14ac:dyDescent="0.25">
      <c r="A13" s="165">
        <v>3</v>
      </c>
      <c r="B13" s="207" t="s">
        <v>175</v>
      </c>
      <c r="C13" s="212">
        <v>345</v>
      </c>
      <c r="D13" s="210">
        <v>247664</v>
      </c>
      <c r="E13" s="123">
        <v>3</v>
      </c>
      <c r="F13" s="123">
        <v>772.6</v>
      </c>
      <c r="G13" s="171">
        <v>12</v>
      </c>
      <c r="H13" s="176">
        <f t="shared" si="0"/>
        <v>0.44654413668133575</v>
      </c>
    </row>
    <row r="14" spans="1:8" x14ac:dyDescent="0.25">
      <c r="A14" s="165">
        <v>4</v>
      </c>
      <c r="B14" s="207" t="s">
        <v>176</v>
      </c>
      <c r="C14" s="212">
        <v>99</v>
      </c>
      <c r="D14" s="210">
        <v>73864</v>
      </c>
      <c r="E14" s="123">
        <v>2</v>
      </c>
      <c r="F14" s="123">
        <v>423.3</v>
      </c>
      <c r="G14" s="171">
        <v>56</v>
      </c>
      <c r="H14" s="176">
        <f t="shared" si="0"/>
        <v>0.23387668320340183</v>
      </c>
    </row>
    <row r="15" spans="1:8" x14ac:dyDescent="0.25">
      <c r="A15" s="165">
        <v>5</v>
      </c>
      <c r="B15" s="207" t="s">
        <v>177</v>
      </c>
      <c r="C15" s="212">
        <v>781</v>
      </c>
      <c r="D15" s="210">
        <v>368411</v>
      </c>
      <c r="E15" s="123">
        <v>2</v>
      </c>
      <c r="F15" s="123">
        <v>813.5</v>
      </c>
      <c r="G15" s="171">
        <v>29</v>
      </c>
      <c r="H15" s="176">
        <f t="shared" si="0"/>
        <v>0.96004917025199754</v>
      </c>
    </row>
    <row r="16" spans="1:8" x14ac:dyDescent="0.25">
      <c r="A16" s="165">
        <v>6</v>
      </c>
      <c r="B16" s="207" t="s">
        <v>178</v>
      </c>
      <c r="C16" s="212">
        <v>354</v>
      </c>
      <c r="D16" s="210">
        <v>195741</v>
      </c>
      <c r="E16" s="123">
        <v>3</v>
      </c>
      <c r="F16" s="123">
        <v>301.7</v>
      </c>
      <c r="G16" s="171">
        <v>17</v>
      </c>
      <c r="H16" s="176">
        <f t="shared" si="0"/>
        <v>1.1733510109380179</v>
      </c>
    </row>
    <row r="17" spans="1:8" x14ac:dyDescent="0.25">
      <c r="A17" s="165">
        <v>7</v>
      </c>
      <c r="B17" s="207" t="s">
        <v>179</v>
      </c>
      <c r="C17" s="212">
        <v>333</v>
      </c>
      <c r="D17" s="210">
        <v>148518</v>
      </c>
      <c r="E17" s="123">
        <v>4</v>
      </c>
      <c r="F17" s="123">
        <v>625.1</v>
      </c>
      <c r="G17" s="171">
        <v>19</v>
      </c>
      <c r="H17" s="176">
        <f t="shared" si="0"/>
        <v>0.53271476563749798</v>
      </c>
    </row>
    <row r="18" spans="1:8" x14ac:dyDescent="0.25">
      <c r="A18" s="166">
        <v>8</v>
      </c>
      <c r="B18" s="208" t="s">
        <v>180</v>
      </c>
      <c r="C18" s="212">
        <v>292</v>
      </c>
      <c r="D18" s="210">
        <v>227355</v>
      </c>
      <c r="E18" s="123">
        <v>4</v>
      </c>
      <c r="F18" s="123">
        <v>359.3</v>
      </c>
      <c r="G18" s="171">
        <v>47</v>
      </c>
      <c r="H18" s="176">
        <f t="shared" si="0"/>
        <v>0.81269134428054546</v>
      </c>
    </row>
    <row r="19" spans="1:8" x14ac:dyDescent="0.25">
      <c r="A19" s="165">
        <v>9</v>
      </c>
      <c r="B19" s="208" t="s">
        <v>181</v>
      </c>
      <c r="C19" s="212">
        <v>40</v>
      </c>
      <c r="D19" s="210">
        <v>33252</v>
      </c>
      <c r="E19" s="123">
        <v>4</v>
      </c>
      <c r="F19" s="123">
        <v>647.4</v>
      </c>
      <c r="G19" s="171">
        <v>64</v>
      </c>
      <c r="H19" s="176">
        <f t="shared" si="0"/>
        <v>6.1785603954278658E-2</v>
      </c>
    </row>
    <row r="20" spans="1:8" ht="18" customHeight="1" x14ac:dyDescent="0.25">
      <c r="A20" s="165">
        <v>10</v>
      </c>
      <c r="B20" s="208" t="s">
        <v>182</v>
      </c>
      <c r="C20" s="212">
        <v>5152</v>
      </c>
      <c r="D20" s="210">
        <v>5239940</v>
      </c>
      <c r="E20" s="123">
        <v>3</v>
      </c>
      <c r="F20" s="123">
        <v>155.9</v>
      </c>
      <c r="G20" s="171">
        <v>0</v>
      </c>
      <c r="H20" s="176">
        <f t="shared" si="0"/>
        <v>33.046824887748556</v>
      </c>
    </row>
    <row r="21" spans="1:8" x14ac:dyDescent="0.25">
      <c r="A21" s="166">
        <v>11</v>
      </c>
      <c r="B21" s="208" t="s">
        <v>183</v>
      </c>
      <c r="C21" s="212">
        <v>194</v>
      </c>
      <c r="D21" s="210">
        <v>167220</v>
      </c>
      <c r="E21" s="123">
        <v>2</v>
      </c>
      <c r="F21" s="123">
        <v>443.9</v>
      </c>
      <c r="G21" s="171">
        <v>40</v>
      </c>
      <c r="H21" s="176">
        <f t="shared" si="0"/>
        <v>0.4370353683261996</v>
      </c>
    </row>
    <row r="22" spans="1:8" ht="12.75" customHeight="1" x14ac:dyDescent="0.25">
      <c r="A22" s="167">
        <v>12</v>
      </c>
      <c r="B22" s="169"/>
      <c r="C22" s="163"/>
      <c r="D22" s="172"/>
      <c r="E22" s="123"/>
      <c r="F22" s="123"/>
      <c r="G22" s="171"/>
      <c r="H22" s="177"/>
    </row>
    <row r="23" spans="1:8" ht="12.75" customHeight="1" x14ac:dyDescent="0.25">
      <c r="A23" s="167">
        <v>13</v>
      </c>
      <c r="B23" s="169"/>
      <c r="C23" s="163"/>
      <c r="D23" s="123"/>
      <c r="E23" s="123"/>
      <c r="F23" s="123"/>
      <c r="G23" s="171"/>
      <c r="H23" s="177"/>
    </row>
    <row r="24" spans="1:8" ht="12.75" customHeight="1" thickBot="1" x14ac:dyDescent="0.25">
      <c r="A24" s="168">
        <v>14</v>
      </c>
      <c r="B24" s="170"/>
      <c r="C24" s="185"/>
      <c r="D24" s="124"/>
      <c r="E24" s="175"/>
      <c r="F24" s="180"/>
      <c r="G24" s="183"/>
      <c r="H24" s="178"/>
    </row>
    <row r="25" spans="1:8" ht="16.5" thickBot="1" x14ac:dyDescent="0.25">
      <c r="A25" s="19"/>
      <c r="B25" s="161" t="s">
        <v>6</v>
      </c>
      <c r="C25" s="186">
        <f t="shared" ref="C25:H25" si="1">SUM(C11:C24)</f>
        <v>8137</v>
      </c>
      <c r="D25" s="188">
        <f t="shared" si="1"/>
        <v>7035838</v>
      </c>
      <c r="E25" s="181">
        <f t="shared" si="1"/>
        <v>34</v>
      </c>
      <c r="F25" s="181">
        <f t="shared" si="1"/>
        <v>5221.4999999999991</v>
      </c>
      <c r="G25" s="184">
        <f t="shared" si="1"/>
        <v>335</v>
      </c>
      <c r="H25" s="179">
        <f t="shared" si="1"/>
        <v>39.241408441035055</v>
      </c>
    </row>
  </sheetData>
  <sheetProtection selectLockedCells="1" selectUnlockedCells="1"/>
  <mergeCells count="6">
    <mergeCell ref="B3:G3"/>
    <mergeCell ref="B5:B8"/>
    <mergeCell ref="C5:H5"/>
    <mergeCell ref="A2:H2"/>
    <mergeCell ref="E6:H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zoomScale="90" zoomScaleNormal="110" zoomScaleSheetLayoutView="90" workbookViewId="0">
      <selection activeCell="F15" sqref="F15"/>
    </sheetView>
  </sheetViews>
  <sheetFormatPr defaultColWidth="9.140625" defaultRowHeight="15.75" x14ac:dyDescent="0.2"/>
  <cols>
    <col min="1" max="1" width="6.140625" style="9" customWidth="1"/>
    <col min="2" max="2" width="37.5703125" style="9" customWidth="1"/>
    <col min="3" max="3" width="19" style="9" customWidth="1"/>
    <col min="4" max="4" width="17" style="9" customWidth="1"/>
    <col min="5" max="5" width="18.5703125" style="9" customWidth="1"/>
    <col min="6" max="6" width="42.2851562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73" t="s">
        <v>63</v>
      </c>
      <c r="B2" s="273"/>
      <c r="C2" s="273"/>
      <c r="D2" s="273"/>
      <c r="E2" s="273"/>
      <c r="F2" s="273"/>
      <c r="G2" s="273"/>
    </row>
    <row r="3" spans="1:8" ht="16.5" thickBot="1" x14ac:dyDescent="0.25">
      <c r="B3" s="12"/>
    </row>
    <row r="4" spans="1:8" s="7" customFormat="1" ht="88.5" customHeight="1" thickBot="1" x14ac:dyDescent="0.25">
      <c r="A4" s="274" t="s">
        <v>0</v>
      </c>
      <c r="B4" s="274" t="s">
        <v>61</v>
      </c>
      <c r="C4" s="81" t="s">
        <v>191</v>
      </c>
      <c r="D4" s="81" t="s">
        <v>192</v>
      </c>
      <c r="E4" s="81" t="s">
        <v>193</v>
      </c>
      <c r="F4" s="82" t="s">
        <v>194</v>
      </c>
      <c r="G4" s="276" t="s">
        <v>198</v>
      </c>
    </row>
    <row r="5" spans="1:8" s="13" customFormat="1" ht="211.5" customHeight="1" thickBot="1" x14ac:dyDescent="0.25">
      <c r="A5" s="275"/>
      <c r="B5" s="275"/>
      <c r="C5" s="192" t="s">
        <v>195</v>
      </c>
      <c r="D5" s="192" t="s">
        <v>196</v>
      </c>
      <c r="E5" s="192" t="s">
        <v>197</v>
      </c>
      <c r="F5" s="192" t="s">
        <v>211</v>
      </c>
      <c r="G5" s="277"/>
    </row>
    <row r="6" spans="1:8" s="14" customFormat="1" thickBot="1" x14ac:dyDescent="0.25">
      <c r="A6" s="37">
        <v>1</v>
      </c>
      <c r="B6" s="38">
        <f t="shared" ref="B6:F6" si="0">A6+1</f>
        <v>2</v>
      </c>
      <c r="C6" s="38">
        <f t="shared" si="0"/>
        <v>3</v>
      </c>
      <c r="D6" s="38">
        <f t="shared" si="0"/>
        <v>4</v>
      </c>
      <c r="E6" s="38">
        <f t="shared" si="0"/>
        <v>5</v>
      </c>
      <c r="F6" s="83">
        <f t="shared" si="0"/>
        <v>6</v>
      </c>
      <c r="G6" s="84">
        <f>F6+1</f>
        <v>7</v>
      </c>
    </row>
    <row r="7" spans="1:8" x14ac:dyDescent="0.25">
      <c r="A7" s="202">
        <v>1</v>
      </c>
      <c r="B7" s="203" t="s">
        <v>173</v>
      </c>
      <c r="C7" s="224">
        <f>1+((('Исходные данные'!E11/'Исходные данные'!F11)/('Исходные данные'!$E$25/'Исходные данные'!$F$25))/11)</f>
        <v>1.0894090934775797</v>
      </c>
      <c r="D7" s="224">
        <f>2-((AVERAGE('Исходные данные'!$G$11:$G$21))/('Исходные данные'!G11+(AVERAGE('Исходные данные'!$G$11:$G$21))))</f>
        <v>1.5909645909645911</v>
      </c>
      <c r="E7" s="225">
        <f>2-(('Исходные данные'!H11+(AVERAGE('Исходные данные'!$H$11:$H$21)))/((MAX('Исходные данные'!$H$11:$H$21))+(AVERAGE('Исходные данные'!$H$11:$H$21))))</f>
        <v>1.8944347098925514</v>
      </c>
      <c r="F7" s="245">
        <f>(IF('Исходные данные'!C11&lt;50,8.5565,(IF('Исходные данные'!C11&lt;100,5.1515,IF('Исходные данные'!C11&lt;200,2.85,IF('Исходные данные'!C11&lt;300,2.521,IF('Исходные данные'!C11&lt;400,2.41,IF('Исходные данные'!C11&lt;500,2.321,IF('Исходные данные'!C11&lt;1000,1.8755,IF('Исходные данные'!C11&gt;1000,1.4465,))))))))))</f>
        <v>5.1515000000000004</v>
      </c>
      <c r="G7" s="226">
        <f>1+(C7*D7*E7*F7)</f>
        <v>17.91472169161521</v>
      </c>
      <c r="H7" s="18"/>
    </row>
    <row r="8" spans="1:8" s="15" customFormat="1" x14ac:dyDescent="0.25">
      <c r="A8" s="79">
        <v>2</v>
      </c>
      <c r="B8" s="207" t="s">
        <v>174</v>
      </c>
      <c r="C8" s="230">
        <f>1+((('Исходные данные'!E12/'Исходные данные'!F12)/('Исходные данные'!$E$25/'Исходные данные'!$F$25))/11)</f>
        <v>1.1904669842636297</v>
      </c>
      <c r="D8" s="230">
        <f>2-((AVERAGE('Исходные данные'!$G$11:$G$21))/('Исходные данные'!G12+(AVERAGE('Исходные данные'!$G$11:$G$21))))</f>
        <v>1.1868932038834952</v>
      </c>
      <c r="E8" s="125">
        <f>2-(('Исходные данные'!H12+(AVERAGE('Исходные данные'!$H$11:$H$21)))/((MAX('Исходные данные'!$H$11:$H$21))+(AVERAGE('Исходные данные'!$H$11:$H$21))))</f>
        <v>1.8687355647863182</v>
      </c>
      <c r="F8" s="249">
        <f>(IF('Исходные данные'!C12&lt;50,8.5565,(IF('Исходные данные'!C12&lt;100,5.1515,IF('Исходные данные'!C12&lt;200,2.85,IF('Исходные данные'!C12&lt;300,2.521,IF('Исходные данные'!C12&lt;400,2.41,IF('Исходные данные'!C12&lt;500,2.321,IF('Исходные данные'!C12&lt;1000,1.8755,IF('Исходные данные'!C12&gt;1000,1.4465,))))))))))</f>
        <v>2.3210000000000002</v>
      </c>
      <c r="G8" s="250">
        <f t="shared" ref="G8:G17" si="1">1+(C8*D8*E8*F8)</f>
        <v>7.1284689476607879</v>
      </c>
      <c r="H8" s="18"/>
    </row>
    <row r="9" spans="1:8" s="15" customFormat="1" x14ac:dyDescent="0.25">
      <c r="A9" s="80">
        <v>3</v>
      </c>
      <c r="B9" s="207" t="s">
        <v>175</v>
      </c>
      <c r="C9" s="230">
        <f>1+((('Исходные данные'!E13/'Исходные данные'!F13)/('Исходные данные'!$E$25/'Исходные данные'!$F$25))/11)</f>
        <v>1.0542113510737408</v>
      </c>
      <c r="D9" s="230">
        <f>2-((AVERAGE('Исходные данные'!$G$11:$G$21))/('Исходные данные'!G13+(AVERAGE('Исходные данные'!$G$11:$G$21))))</f>
        <v>1.2826552462526766</v>
      </c>
      <c r="E9" s="125">
        <f>2-(('Исходные данные'!H13+(AVERAGE('Исходные данные'!$H$11:$H$21)))/((MAX('Исходные данные'!$H$11:$H$21))+(AVERAGE('Исходные данные'!$H$11:$H$21))))</f>
        <v>1.8903719843249678</v>
      </c>
      <c r="F9" s="249">
        <f>(IF('Исходные данные'!C13&lt;50,8.5565,(IF('Исходные данные'!C13&lt;100,5.1515,IF('Исходные данные'!C13&lt;200,2.85,IF('Исходные данные'!C13&lt;300,2.521,IF('Исходные данные'!C13&lt;400,2.41,IF('Исходные данные'!C13&lt;500,2.321,IF('Исходные данные'!C13&lt;1000,1.8755,IF('Исходные данные'!C13&gt;1000,1.4465,))))))))))</f>
        <v>2.41</v>
      </c>
      <c r="G9" s="250">
        <f t="shared" si="1"/>
        <v>7.1603011701930406</v>
      </c>
      <c r="H9" s="18"/>
    </row>
    <row r="10" spans="1:8" s="15" customFormat="1" x14ac:dyDescent="0.25">
      <c r="A10" s="79">
        <v>4</v>
      </c>
      <c r="B10" s="207" t="s">
        <v>176</v>
      </c>
      <c r="C10" s="230">
        <f>1+((('Исходные данные'!E14/'Исходные данные'!F14)/('Исходные данные'!$E$25/'Исходные данные'!$F$25))/11)</f>
        <v>1.0659637606733949</v>
      </c>
      <c r="D10" s="230">
        <f>2-((AVERAGE('Исходные данные'!$G$11:$G$21))/('Исходные данные'!G14+(AVERAGE('Исходные данные'!$G$11:$G$21))))</f>
        <v>1.647739221871714</v>
      </c>
      <c r="E10" s="125">
        <f>2-(('Исходные данные'!H14+(AVERAGE('Исходные данные'!$H$11:$H$21)))/((MAX('Исходные данные'!$H$11:$H$21))+(AVERAGE('Исходные данные'!$H$11:$H$21))))</f>
        <v>1.8961803129096313</v>
      </c>
      <c r="F10" s="249">
        <f>(IF('Исходные данные'!C14&lt;50,8.5565,(IF('Исходные данные'!C14&lt;100,5.1515,IF('Исходные данные'!C14&lt;200,2.85,IF('Исходные данные'!C14&lt;300,2.521,IF('Исходные данные'!C14&lt;400,2.41,IF('Исходные данные'!C14&lt;500,2.321,IF('Исходные данные'!C14&lt;1000,1.8755,IF('Исходные данные'!C14&gt;1000,1.4465,))))))))))</f>
        <v>5.1515000000000004</v>
      </c>
      <c r="G10" s="250">
        <f t="shared" si="1"/>
        <v>18.157114801623248</v>
      </c>
      <c r="H10" s="18"/>
    </row>
    <row r="11" spans="1:8" s="15" customFormat="1" x14ac:dyDescent="0.25">
      <c r="A11" s="80">
        <v>5</v>
      </c>
      <c r="B11" s="207" t="s">
        <v>177</v>
      </c>
      <c r="C11" s="230">
        <f>1+((('Исходные данные'!E15/'Исходные данные'!F15)/('Исходные данные'!$E$25/'Исходные данные'!$F$25))/11)</f>
        <v>1.0343238597333104</v>
      </c>
      <c r="D11" s="230">
        <f>2-((AVERAGE('Исходные данные'!$G$11:$G$21))/('Исходные данные'!G15+(AVERAGE('Исходные данные'!$G$11:$G$21))))</f>
        <v>1.4877675840978593</v>
      </c>
      <c r="E11" s="125">
        <f>2-(('Исходные данные'!H15+(AVERAGE('Исходные данные'!$H$11:$H$21)))/((MAX('Исходные данные'!$H$11:$H$21))+(AVERAGE('Исходные данные'!$H$11:$H$21))))</f>
        <v>1.8763472432746562</v>
      </c>
      <c r="F11" s="249">
        <f>(IF('Исходные данные'!C15&lt;50,8.5565,(IF('Исходные данные'!C15&lt;100,5.1515,IF('Исходные данные'!C15&lt;200,2.85,IF('Исходные данные'!C15&lt;300,2.521,IF('Исходные данные'!C15&lt;400,2.41,IF('Исходные данные'!C15&lt;500,2.321,IF('Исходные данные'!C15&lt;1000,1.8755,IF('Исходные данные'!C15&gt;1000,1.4465,))))))))))</f>
        <v>1.8754999999999999</v>
      </c>
      <c r="G11" s="250">
        <f t="shared" si="1"/>
        <v>6.4152924698032363</v>
      </c>
      <c r="H11" s="18"/>
    </row>
    <row r="12" spans="1:8" s="15" customFormat="1" x14ac:dyDescent="0.25">
      <c r="A12" s="79">
        <v>6</v>
      </c>
      <c r="B12" s="207" t="s">
        <v>178</v>
      </c>
      <c r="C12" s="230">
        <f>1+((('Исходные данные'!E16/'Исходные данные'!F16)/('Исходные данные'!$E$25/'Исходные данные'!$F$25))/11)</f>
        <v>1.1388256209465435</v>
      </c>
      <c r="D12" s="230">
        <f>2-((AVERAGE('Исходные данные'!$G$11:$G$21))/('Исходные данные'!G16+(AVERAGE('Исходные данные'!$G$11:$G$21))))</f>
        <v>1.3582375478927204</v>
      </c>
      <c r="E12" s="125">
        <f>2-(('Исходные данные'!H16+(AVERAGE('Исходные данные'!$H$11:$H$21)))/((MAX('Исходные данные'!$H$11:$H$21))+(AVERAGE('Исходные данные'!$H$11:$H$21))))</f>
        <v>1.8705215884405162</v>
      </c>
      <c r="F12" s="249">
        <f>(IF('Исходные данные'!C16&lt;50,8.5565,(IF('Исходные данные'!C16&lt;100,5.1515,IF('Исходные данные'!C16&lt;200,2.85,IF('Исходные данные'!C16&lt;300,2.521,IF('Исходные данные'!C16&lt;400,2.41,IF('Исходные данные'!C16&lt;500,2.321,IF('Исходные данные'!C16&lt;1000,1.8755,IF('Исходные данные'!C16&gt;1000,1.4465,))))))))))</f>
        <v>2.41</v>
      </c>
      <c r="G12" s="250">
        <f t="shared" si="1"/>
        <v>7.9728886319877086</v>
      </c>
      <c r="H12" s="18"/>
    </row>
    <row r="13" spans="1:8" s="15" customFormat="1" x14ac:dyDescent="0.25">
      <c r="A13" s="80">
        <v>7</v>
      </c>
      <c r="B13" s="207" t="s">
        <v>179</v>
      </c>
      <c r="C13" s="230">
        <f>1+((('Исходные данные'!E17/'Исходные данные'!F17)/('Исходные данные'!$E$25/'Исходные данные'!$F$25))/11)</f>
        <v>1.0893375776453307</v>
      </c>
      <c r="D13" s="230">
        <f>2-((AVERAGE('Исходные данные'!$G$11:$G$21))/('Исходные данные'!G17+(AVERAGE('Исходные данные'!$G$11:$G$21))))</f>
        <v>1.3841911764705883</v>
      </c>
      <c r="E13" s="125">
        <f>2-(('Исходные данные'!H17+(AVERAGE('Исходные данные'!$H$11:$H$21)))/((MAX('Исходные данные'!$H$11:$H$21))+(AVERAGE('Исходные данные'!$H$11:$H$21))))</f>
        <v>1.8880185103018423</v>
      </c>
      <c r="F13" s="249">
        <f>(IF('Исходные данные'!C17&lt;50,8.5565,(IF('Исходные данные'!C17&lt;100,5.1515,IF('Исходные данные'!C17&lt;200,2.85,IF('Исходные данные'!C17&lt;300,2.521,IF('Исходные данные'!C17&lt;400,2.41,IF('Исходные данные'!C17&lt;500,2.321,IF('Исходные данные'!C17&lt;1000,1.8755,IF('Исходные данные'!C17&gt;1000,1.4465,))))))))))</f>
        <v>2.41</v>
      </c>
      <c r="G13" s="250">
        <f t="shared" si="1"/>
        <v>7.8609120505546572</v>
      </c>
      <c r="H13" s="18"/>
    </row>
    <row r="14" spans="1:8" s="15" customFormat="1" x14ac:dyDescent="0.25">
      <c r="A14" s="79">
        <v>8</v>
      </c>
      <c r="B14" s="208" t="s">
        <v>180</v>
      </c>
      <c r="C14" s="230">
        <f>1+((('Исходные данные'!E18/'Исходные данные'!F18)/('Исходные данные'!$E$25/'Исходные данные'!$F$25))/11)</f>
        <v>1.1554269963431567</v>
      </c>
      <c r="D14" s="230">
        <f>2-((AVERAGE('Исходные данные'!$G$11:$G$21))/('Исходные данные'!G18+(AVERAGE('Исходные данные'!$G$11:$G$21))))</f>
        <v>1.6068075117370892</v>
      </c>
      <c r="E14" s="125">
        <f>2-(('Исходные данные'!H18+(AVERAGE('Исходные данные'!$H$11:$H$21)))/((MAX('Исходные данные'!$H$11:$H$21))+(AVERAGE('Исходные данные'!$H$11:$H$21))))</f>
        <v>1.8803718491029886</v>
      </c>
      <c r="F14" s="249">
        <f>(IF('Исходные данные'!C18&lt;50,8.5565,(IF('Исходные данные'!C18&lt;100,5.1515,IF('Исходные данные'!C18&lt;200,2.85,IF('Исходные данные'!C18&lt;300,2.521,IF('Исходные данные'!C18&lt;400,2.41,IF('Исходные данные'!C18&lt;500,2.321,IF('Исходные данные'!C18&lt;1000,1.8755,IF('Исходные данные'!C18&gt;1000,1.4465,))))))))))</f>
        <v>2.5209999999999999</v>
      </c>
      <c r="G14" s="250">
        <f t="shared" si="1"/>
        <v>9.8008161850285056</v>
      </c>
      <c r="H14" s="18"/>
    </row>
    <row r="15" spans="1:8" s="15" customFormat="1" x14ac:dyDescent="0.25">
      <c r="A15" s="80">
        <v>9</v>
      </c>
      <c r="B15" s="208" t="s">
        <v>181</v>
      </c>
      <c r="C15" s="230">
        <f>1+((('Исходные данные'!E19/'Исходные данные'!F19)/('Исходные данные'!$E$25/'Исходные данные'!$F$25))/11)</f>
        <v>1.0862603024190551</v>
      </c>
      <c r="D15" s="230">
        <f>2-((AVERAGE('Исходные данные'!$G$11:$G$21))/('Исходные данные'!G19+(AVERAGE('Исходные данные'!$G$11:$G$21))))</f>
        <v>1.6775745909528392</v>
      </c>
      <c r="E15" s="125">
        <f>2-(('Исходные данные'!H19+(AVERAGE('Исходные данные'!$H$11:$H$21)))/((MAX('Исходные данные'!$H$11:$H$21))+(AVERAGE('Исходные данные'!$H$11:$H$21))))</f>
        <v>1.9008804281290579</v>
      </c>
      <c r="F15" s="249">
        <f>(IF('Исходные данные'!C19&lt;50,8.5565,(IF('Исходные данные'!C19&lt;100,5.1515,IF('Исходные данные'!C19&lt;200,2.85,IF('Исходные данные'!C19&lt;300,2.521,IF('Исходные данные'!C19&lt;400,2.41,IF('Исходные данные'!C19&lt;500,2.321,IF('Исходные данные'!C19&lt;1000,1.8755,IF('Исходные данные'!C19&gt;1000,1.4465,))))))))))</f>
        <v>8.5564999999999998</v>
      </c>
      <c r="G15" s="250">
        <f t="shared" si="1"/>
        <v>30.639215322227589</v>
      </c>
      <c r="H15" s="18"/>
    </row>
    <row r="16" spans="1:8" s="15" customFormat="1" ht="16.149999999999999" customHeight="1" x14ac:dyDescent="0.25">
      <c r="A16" s="79">
        <v>10</v>
      </c>
      <c r="B16" s="208" t="s">
        <v>182</v>
      </c>
      <c r="C16" s="230">
        <f>1+((('Исходные данные'!E20/'Исходные данные'!F20)/('Исходные данные'!$E$25/'Исходные данные'!$F$25))/11)</f>
        <v>1.2686574075662103</v>
      </c>
      <c r="D16" s="230">
        <f>2-((AVERAGE('Исходные данные'!$G$11:$G$21))/('Исходные данные'!G20+(AVERAGE('Исходные данные'!$G$11:$G$21))))</f>
        <v>1</v>
      </c>
      <c r="E16" s="125">
        <f>2-(('Исходные данные'!H20+(AVERAGE('Исходные данные'!$H$11:$H$21)))/((MAX('Исходные данные'!$H$11:$H$21))+(AVERAGE('Исходные данные'!$H$11:$H$21))))</f>
        <v>1</v>
      </c>
      <c r="F16" s="249">
        <f>(IF('Исходные данные'!C20&lt;50,8.5565,(IF('Исходные данные'!C20&lt;100,5.1515,IF('Исходные данные'!C20&lt;200,2.85,IF('Исходные данные'!C20&lt;300,2.521,IF('Исходные данные'!C20&lt;400,2.41,IF('Исходные данные'!C20&lt;500,2.321,IF('Исходные данные'!C20&lt;1000,1.8755,IF('Исходные данные'!C20&gt;1000,1.4465,))))))))))</f>
        <v>1.4464999999999999</v>
      </c>
      <c r="G16" s="250">
        <f t="shared" si="1"/>
        <v>2.8351129400445227</v>
      </c>
      <c r="H16" s="18"/>
    </row>
    <row r="17" spans="1:8" s="15" customFormat="1" ht="16.5" thickBot="1" x14ac:dyDescent="0.3">
      <c r="A17" s="204">
        <v>11</v>
      </c>
      <c r="B17" s="205" t="s">
        <v>183</v>
      </c>
      <c r="C17" s="231">
        <f>1+((('Исходные данные'!E21/'Исходные данные'!F21)/('Исходные данные'!$E$25/'Исходные данные'!$F$25))/11)</f>
        <v>1.0629025904326384</v>
      </c>
      <c r="D17" s="231">
        <f>2-((AVERAGE('Исходные данные'!$G$11:$G$21))/('Исходные данные'!G21+(AVERAGE('Исходные данные'!$G$11:$G$21))))</f>
        <v>1.5677419354838711</v>
      </c>
      <c r="E17" s="232">
        <f>2-(('Исходные данные'!H21+(AVERAGE('Исходные данные'!$H$11:$H$21)))/((MAX('Исходные данные'!$H$11:$H$21))+(AVERAGE('Исходные данные'!$H$11:$H$21))))</f>
        <v>1.890631685798507</v>
      </c>
      <c r="F17" s="251">
        <f>(IF('Исходные данные'!C21&lt;50,8.5565,(IF('Исходные данные'!C21&lt;100,5.1515,IF('Исходные данные'!C21&lt;200,2.85,IF('Исходные данные'!C21&lt;300,2.521,IF('Исходные данные'!C21&lt;400,2.41,IF('Исходные данные'!C21&lt;500,2.321,IF('Исходные данные'!C21&lt;1000,1.8755,IF('Исходные данные'!C21&gt;1000,1.4465,))))))))))</f>
        <v>2.85</v>
      </c>
      <c r="G17" s="252">
        <f t="shared" si="1"/>
        <v>9.978831738486333</v>
      </c>
      <c r="H17" s="18"/>
    </row>
    <row r="18" spans="1:8" hidden="1" x14ac:dyDescent="0.25">
      <c r="A18" s="200">
        <v>12</v>
      </c>
      <c r="B18" s="201"/>
      <c r="C18" s="247" t="e">
        <f>1+((('Исходные данные'!E22/'Исходные данные'!F22)/('Исходные данные'!$E$25/'Исходные данные'!$F$25))/11)</f>
        <v>#DIV/0!</v>
      </c>
      <c r="D18" s="199">
        <f>2-((AVERAGE('Исходные данные'!$G$11:$G$21))/('Исходные данные'!G22+(AVERAGE('Исходные данные'!$G$11:$G$21))))</f>
        <v>1</v>
      </c>
      <c r="E18" s="199"/>
      <c r="F18" s="248">
        <f>(IF('Исходные данные'!C22&lt;50,8.5565,(IF('Исходные данные'!C22&lt;100,5.1565,IF('Исходные данные'!C22&lt;200,2.85,IF('Исходные данные'!C22&lt;300,2.521,IF('Исходные данные'!C22&lt;400,2.415,IF('Исходные данные'!C22&lt;500,2.3545,IF('Исходные данные'!C22&lt;1000,1.8755,IF('Исходные данные'!C22&gt;1000,1.4475,))))))))))</f>
        <v>8.5564999999999998</v>
      </c>
      <c r="G18" s="198" t="e">
        <f t="shared" ref="G18:G19" si="2">1+(C18*D18*E18*F18)</f>
        <v>#DIV/0!</v>
      </c>
    </row>
    <row r="19" spans="1:8" hidden="1" x14ac:dyDescent="0.25">
      <c r="A19" s="80">
        <v>13</v>
      </c>
      <c r="B19" s="127"/>
      <c r="C19" s="224" t="e">
        <f>1+((('Исходные данные'!E23/'Исходные данные'!F23)/('Исходные данные'!$E$25/'Исходные данные'!$F$25))/11)</f>
        <v>#DIV/0!</v>
      </c>
      <c r="D19" s="126">
        <f>2-((AVERAGE('Исходные данные'!$G$11:$G$21))/('Исходные данные'!G23+(AVERAGE('Исходные данные'!$G$11:$G$21))))</f>
        <v>1</v>
      </c>
      <c r="E19" s="125"/>
      <c r="F19" s="245">
        <f>(IF('Исходные данные'!C23&lt;50,8.5565,(IF('Исходные данные'!C23&lt;100,5.1565,IF('Исходные данные'!C23&lt;200,2.85,IF('Исходные данные'!C23&lt;300,2.521,IF('Исходные данные'!C23&lt;400,2.415,IF('Исходные данные'!C23&lt;500,2.3545,IF('Исходные данные'!C23&lt;1000,1.8755,IF('Исходные данные'!C23&gt;1000,1.4475,))))))))))</f>
        <v>8.5564999999999998</v>
      </c>
      <c r="G19" s="155" t="e">
        <f t="shared" si="2"/>
        <v>#DIV/0!</v>
      </c>
    </row>
    <row r="20" spans="1:8" x14ac:dyDescent="0.2">
      <c r="F20" s="154"/>
    </row>
    <row r="21" spans="1:8" ht="116.25" customHeight="1" x14ac:dyDescent="0.2">
      <c r="A21" s="278" t="s">
        <v>82</v>
      </c>
      <c r="B21" s="278"/>
      <c r="C21" s="278"/>
      <c r="D21" s="278"/>
      <c r="E21" s="278"/>
      <c r="F21" s="278"/>
      <c r="G21" s="278"/>
    </row>
  </sheetData>
  <sheetProtection selectLockedCells="1" selectUnlockedCells="1"/>
  <mergeCells count="5">
    <mergeCell ref="A2:G2"/>
    <mergeCell ref="A4:A5"/>
    <mergeCell ref="B4:B5"/>
    <mergeCell ref="G4:G5"/>
    <mergeCell ref="A21:G21"/>
  </mergeCells>
  <pageMargins left="0.23622047244094491" right="0.27559055118110237" top="0.51181102362204722" bottom="0.74803149606299213" header="0.27559055118110237" footer="0.51181102362204722"/>
  <pageSetup paperSize="9" scale="91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O25"/>
  <sheetViews>
    <sheetView tabSelected="1" topLeftCell="AQ1" zoomScale="60" zoomScaleNormal="60" workbookViewId="0">
      <selection activeCell="GM5" sqref="GM5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6.42578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7.42578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9.28515625" style="16" customWidth="1"/>
    <col min="54" max="54" width="19.57031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hidden="1" customWidth="1"/>
    <col min="67" max="67" width="12" style="16" hidden="1" customWidth="1"/>
    <col min="68" max="68" width="12.5703125" style="16" hidden="1" customWidth="1"/>
    <col min="69" max="69" width="15.42578125" style="16" hidden="1" customWidth="1"/>
    <col min="70" max="70" width="16.85546875" style="16" hidden="1" customWidth="1"/>
    <col min="71" max="71" width="15" style="16" hidden="1" customWidth="1"/>
    <col min="72" max="72" width="18.140625" style="16" hidden="1" customWidth="1"/>
    <col min="73" max="73" width="12" style="16" hidden="1" customWidth="1"/>
    <col min="74" max="74" width="12.5703125" style="16" hidden="1" customWidth="1"/>
    <col min="75" max="75" width="15.42578125" style="16" hidden="1" customWidth="1"/>
    <col min="76" max="76" width="16.85546875" style="16" hidden="1" customWidth="1"/>
    <col min="77" max="77" width="15" style="16" hidden="1" customWidth="1"/>
    <col min="78" max="78" width="19.7109375" style="16" hidden="1" customWidth="1"/>
    <col min="79" max="79" width="15.85546875" style="16" hidden="1" customWidth="1"/>
    <col min="80" max="81" width="15" style="16" hidden="1" customWidth="1"/>
    <col min="82" max="82" width="16.5703125" style="16" hidden="1" customWidth="1"/>
    <col min="83" max="83" width="15" style="16" hidden="1" customWidth="1"/>
    <col min="84" max="84" width="16.5703125" style="16" hidden="1" customWidth="1"/>
    <col min="85" max="87" width="15" style="16" hidden="1" customWidth="1"/>
    <col min="88" max="88" width="16.5703125" style="16" hidden="1" customWidth="1"/>
    <col min="89" max="89" width="15" style="16" hidden="1" customWidth="1"/>
    <col min="90" max="90" width="16.28515625" style="16" hidden="1" customWidth="1"/>
    <col min="91" max="93" width="15" style="16" hidden="1" customWidth="1"/>
    <col min="94" max="94" width="16.28515625" style="16" hidden="1" customWidth="1"/>
    <col min="95" max="95" width="15" style="16" hidden="1" customWidth="1"/>
    <col min="96" max="96" width="16.5703125" style="16" hidden="1" customWidth="1"/>
    <col min="97" max="99" width="15" style="16" hidden="1" customWidth="1"/>
    <col min="100" max="100" width="16" style="16" hidden="1" customWidth="1"/>
    <col min="101" max="101" width="15" style="16" hidden="1" customWidth="1"/>
    <col min="102" max="102" width="16" style="16" hidden="1" customWidth="1"/>
    <col min="103" max="105" width="15" style="16" hidden="1" customWidth="1"/>
    <col min="106" max="106" width="15.85546875" style="16" hidden="1" customWidth="1"/>
    <col min="107" max="107" width="15" style="16" hidden="1" customWidth="1"/>
    <col min="108" max="108" width="16" style="16" hidden="1" customWidth="1"/>
    <col min="109" max="111" width="15" style="16" hidden="1" customWidth="1"/>
    <col min="112" max="112" width="16.28515625" style="16" hidden="1" customWidth="1"/>
    <col min="113" max="113" width="15" style="16" hidden="1" customWidth="1"/>
    <col min="114" max="114" width="15.85546875" style="16" hidden="1" customWidth="1"/>
    <col min="115" max="117" width="15" style="16" hidden="1" customWidth="1"/>
    <col min="118" max="118" width="17" style="16" hidden="1" customWidth="1"/>
    <col min="119" max="119" width="15" style="16" hidden="1" customWidth="1"/>
    <col min="120" max="120" width="16.28515625" style="16" hidden="1" customWidth="1"/>
    <col min="121" max="123" width="15" style="16" hidden="1" customWidth="1"/>
    <col min="124" max="124" width="16" style="16" hidden="1" customWidth="1"/>
    <col min="125" max="125" width="15" style="16" hidden="1" customWidth="1"/>
    <col min="126" max="126" width="17.42578125" style="16" hidden="1" customWidth="1"/>
    <col min="127" max="129" width="15" style="16" hidden="1" customWidth="1"/>
    <col min="130" max="130" width="16.42578125" style="16" hidden="1" customWidth="1"/>
    <col min="131" max="131" width="15" style="16" hidden="1" customWidth="1"/>
    <col min="132" max="132" width="16.85546875" style="16" hidden="1" customWidth="1"/>
    <col min="133" max="135" width="15" style="16" hidden="1" customWidth="1"/>
    <col min="136" max="136" width="16.42578125" style="16" hidden="1" customWidth="1"/>
    <col min="137" max="141" width="15" style="16" hidden="1" customWidth="1"/>
    <col min="142" max="142" width="16.7109375" style="16" hidden="1" customWidth="1"/>
    <col min="143" max="147" width="15" style="16" hidden="1" customWidth="1"/>
    <col min="148" max="148" width="17.5703125" style="16" hidden="1" customWidth="1"/>
    <col min="149" max="153" width="15" style="16" hidden="1" customWidth="1"/>
    <col min="154" max="154" width="16.140625" style="16" hidden="1" customWidth="1"/>
    <col min="155" max="159" width="15" style="16" hidden="1" customWidth="1"/>
    <col min="160" max="160" width="16.42578125" style="16" hidden="1" customWidth="1"/>
    <col min="161" max="165" width="15" style="16" hidden="1" customWidth="1"/>
    <col min="166" max="166" width="16.85546875" style="16" hidden="1" customWidth="1"/>
    <col min="167" max="171" width="15" style="16" hidden="1" customWidth="1"/>
    <col min="172" max="172" width="16.85546875" style="16" hidden="1" customWidth="1"/>
    <col min="173" max="173" width="15" style="16" hidden="1" customWidth="1"/>
    <col min="174" max="174" width="16.140625" style="16" hidden="1" customWidth="1"/>
    <col min="175" max="177" width="15" style="16" hidden="1" customWidth="1"/>
    <col min="178" max="178" width="16.42578125" style="16" hidden="1" customWidth="1"/>
    <col min="179" max="179" width="15" style="16" hidden="1" customWidth="1"/>
    <col min="180" max="180" width="16.7109375" style="16" hidden="1" customWidth="1"/>
    <col min="181" max="183" width="15" style="16" hidden="1" customWidth="1"/>
    <col min="184" max="184" width="17.140625" style="16" hidden="1" customWidth="1"/>
    <col min="185" max="185" width="15" style="16" hidden="1" customWidth="1"/>
    <col min="186" max="186" width="17.140625" style="16" hidden="1" customWidth="1"/>
    <col min="187" max="189" width="15" style="16" hidden="1" customWidth="1"/>
    <col min="190" max="190" width="16.7109375" style="16" hidden="1" customWidth="1"/>
    <col min="191" max="191" width="8.140625" style="16" hidden="1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0" style="16" customWidth="1"/>
    <col min="196" max="196" width="22.42578125" style="16" customWidth="1"/>
    <col min="197" max="16384" width="15.28515625" style="16"/>
  </cols>
  <sheetData>
    <row r="1" spans="1:196" s="17" customFormat="1" ht="22.5" customHeight="1" x14ac:dyDescent="0.2">
      <c r="A1" s="109"/>
      <c r="B1" s="109" t="s">
        <v>213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</row>
    <row r="2" spans="1:196" s="5" customFormat="1" ht="16.5" thickBot="1" x14ac:dyDescent="0.25"/>
    <row r="3" spans="1:196" s="33" customFormat="1" ht="34.5" customHeight="1" thickBot="1" x14ac:dyDescent="0.25">
      <c r="A3" s="294" t="s">
        <v>7</v>
      </c>
      <c r="B3" s="297" t="s">
        <v>58</v>
      </c>
      <c r="C3" s="300" t="s">
        <v>9</v>
      </c>
      <c r="D3" s="301"/>
      <c r="E3" s="301"/>
      <c r="F3" s="302"/>
      <c r="G3" s="311" t="s">
        <v>59</v>
      </c>
      <c r="H3" s="312"/>
      <c r="I3" s="312"/>
      <c r="J3" s="313"/>
      <c r="K3" s="282" t="s">
        <v>79</v>
      </c>
      <c r="L3" s="64" t="s">
        <v>51</v>
      </c>
      <c r="M3" s="279" t="s">
        <v>75</v>
      </c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  <c r="Z3" s="280"/>
      <c r="AA3" s="280"/>
      <c r="AB3" s="280"/>
      <c r="AC3" s="280"/>
      <c r="AD3" s="280"/>
      <c r="AE3" s="280"/>
      <c r="AF3" s="280"/>
      <c r="AG3" s="280"/>
      <c r="AH3" s="280"/>
      <c r="AI3" s="280"/>
      <c r="AJ3" s="280"/>
      <c r="AK3" s="280"/>
      <c r="AL3" s="280"/>
      <c r="AM3" s="280"/>
      <c r="AN3" s="280"/>
      <c r="AO3" s="280"/>
      <c r="AP3" s="280"/>
      <c r="AQ3" s="280"/>
      <c r="AR3" s="280"/>
      <c r="AS3" s="280"/>
      <c r="AT3" s="280"/>
      <c r="AU3" s="280"/>
      <c r="AV3" s="280"/>
      <c r="AW3" s="280"/>
      <c r="AX3" s="280"/>
      <c r="AY3" s="280"/>
      <c r="AZ3" s="280"/>
      <c r="BA3" s="280"/>
      <c r="BB3" s="280"/>
      <c r="BC3" s="280"/>
      <c r="BD3" s="280"/>
      <c r="BE3" s="280"/>
      <c r="BF3" s="280"/>
      <c r="BG3" s="280"/>
      <c r="BH3" s="280"/>
      <c r="BI3" s="280"/>
      <c r="BJ3" s="280"/>
      <c r="BK3" s="280"/>
      <c r="BL3" s="280"/>
      <c r="BM3" s="280"/>
      <c r="BN3" s="280"/>
      <c r="BO3" s="280"/>
      <c r="BP3" s="280"/>
      <c r="BQ3" s="280"/>
      <c r="BR3" s="280"/>
      <c r="BS3" s="281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3"/>
      <c r="DB3" s="113"/>
      <c r="DC3" s="113"/>
      <c r="DD3" s="113"/>
      <c r="DE3" s="113"/>
      <c r="DF3" s="113"/>
      <c r="DG3" s="113"/>
      <c r="DH3" s="113"/>
      <c r="DI3" s="113"/>
      <c r="DJ3" s="113"/>
      <c r="DK3" s="113"/>
      <c r="DL3" s="113"/>
      <c r="DM3" s="113"/>
      <c r="DN3" s="113"/>
      <c r="DO3" s="113"/>
      <c r="DP3" s="113"/>
      <c r="DQ3" s="113"/>
      <c r="DR3" s="113"/>
      <c r="DS3" s="113"/>
      <c r="DT3" s="113"/>
      <c r="DU3" s="113"/>
      <c r="DV3" s="113"/>
      <c r="DW3" s="113"/>
      <c r="DX3" s="113"/>
      <c r="DY3" s="113"/>
      <c r="DZ3" s="113"/>
      <c r="EA3" s="113"/>
      <c r="EB3" s="113"/>
      <c r="EC3" s="113"/>
      <c r="ED3" s="113"/>
      <c r="EE3" s="113"/>
      <c r="EF3" s="113"/>
      <c r="EG3" s="113"/>
      <c r="EH3" s="113"/>
      <c r="EI3" s="113"/>
      <c r="EJ3" s="113"/>
      <c r="EK3" s="113"/>
      <c r="EL3" s="113"/>
      <c r="EM3" s="113"/>
      <c r="EN3" s="113"/>
      <c r="EO3" s="113"/>
      <c r="EP3" s="113"/>
      <c r="EQ3" s="113"/>
      <c r="ER3" s="113"/>
      <c r="ES3" s="113"/>
      <c r="ET3" s="113"/>
      <c r="EU3" s="113"/>
      <c r="EV3" s="113"/>
      <c r="EW3" s="113"/>
      <c r="EX3" s="113"/>
      <c r="EY3" s="113"/>
      <c r="EZ3" s="113"/>
      <c r="FA3" s="113"/>
      <c r="FB3" s="113"/>
      <c r="FC3" s="113"/>
      <c r="FD3" s="113"/>
      <c r="FE3" s="113"/>
      <c r="FF3" s="113"/>
      <c r="FG3" s="113"/>
      <c r="FH3" s="113"/>
      <c r="FI3" s="113"/>
      <c r="FJ3" s="113"/>
      <c r="FK3" s="113"/>
      <c r="FL3" s="113"/>
      <c r="FM3" s="113"/>
      <c r="FN3" s="113"/>
      <c r="FO3" s="113"/>
      <c r="FP3" s="113"/>
      <c r="FQ3" s="113"/>
      <c r="FR3" s="113"/>
      <c r="FS3" s="113"/>
      <c r="FT3" s="113"/>
      <c r="FU3" s="113"/>
      <c r="FV3" s="113"/>
      <c r="FW3" s="113"/>
      <c r="FX3" s="113"/>
      <c r="FY3" s="113"/>
      <c r="FZ3" s="113"/>
      <c r="GA3" s="113"/>
      <c r="GB3" s="113"/>
      <c r="GC3" s="113"/>
      <c r="GD3" s="113"/>
      <c r="GE3" s="113"/>
      <c r="GF3" s="113"/>
      <c r="GG3" s="113"/>
      <c r="GH3" s="113"/>
      <c r="GI3" s="113"/>
      <c r="GJ3" s="316" t="s">
        <v>80</v>
      </c>
      <c r="GK3" s="291" t="s">
        <v>81</v>
      </c>
      <c r="GL3" s="319" t="s">
        <v>78</v>
      </c>
      <c r="GM3" s="239"/>
    </row>
    <row r="4" spans="1:196" s="23" customFormat="1" ht="29.25" customHeight="1" x14ac:dyDescent="0.2">
      <c r="A4" s="295"/>
      <c r="B4" s="298"/>
      <c r="C4" s="305" t="s">
        <v>10</v>
      </c>
      <c r="D4" s="306"/>
      <c r="E4" s="305" t="s">
        <v>11</v>
      </c>
      <c r="F4" s="306"/>
      <c r="G4" s="307" t="s">
        <v>189</v>
      </c>
      <c r="H4" s="289" t="s">
        <v>12</v>
      </c>
      <c r="I4" s="289" t="s">
        <v>64</v>
      </c>
      <c r="J4" s="314" t="s">
        <v>67</v>
      </c>
      <c r="K4" s="283"/>
      <c r="L4" s="309" t="s">
        <v>76</v>
      </c>
      <c r="M4" s="285" t="s">
        <v>13</v>
      </c>
      <c r="N4" s="286"/>
      <c r="O4" s="286"/>
      <c r="P4" s="286"/>
      <c r="Q4" s="287"/>
      <c r="R4" s="285" t="s">
        <v>14</v>
      </c>
      <c r="S4" s="286"/>
      <c r="T4" s="286"/>
      <c r="U4" s="286"/>
      <c r="V4" s="286"/>
      <c r="W4" s="287"/>
      <c r="X4" s="285" t="s">
        <v>15</v>
      </c>
      <c r="Y4" s="286"/>
      <c r="Z4" s="286"/>
      <c r="AA4" s="286"/>
      <c r="AB4" s="286"/>
      <c r="AC4" s="287"/>
      <c r="AD4" s="285" t="s">
        <v>16</v>
      </c>
      <c r="AE4" s="286"/>
      <c r="AF4" s="286"/>
      <c r="AG4" s="286"/>
      <c r="AH4" s="286"/>
      <c r="AI4" s="287"/>
      <c r="AJ4" s="285" t="s">
        <v>17</v>
      </c>
      <c r="AK4" s="286"/>
      <c r="AL4" s="286"/>
      <c r="AM4" s="286"/>
      <c r="AN4" s="286"/>
      <c r="AO4" s="287"/>
      <c r="AP4" s="285" t="s">
        <v>18</v>
      </c>
      <c r="AQ4" s="286"/>
      <c r="AR4" s="286"/>
      <c r="AS4" s="286"/>
      <c r="AT4" s="286"/>
      <c r="AU4" s="287"/>
      <c r="AV4" s="285" t="s">
        <v>19</v>
      </c>
      <c r="AW4" s="286"/>
      <c r="AX4" s="286"/>
      <c r="AY4" s="286"/>
      <c r="AZ4" s="286"/>
      <c r="BA4" s="287"/>
      <c r="BB4" s="285" t="s">
        <v>20</v>
      </c>
      <c r="BC4" s="286"/>
      <c r="BD4" s="286"/>
      <c r="BE4" s="286"/>
      <c r="BF4" s="286"/>
      <c r="BG4" s="287"/>
      <c r="BH4" s="285" t="s">
        <v>21</v>
      </c>
      <c r="BI4" s="286"/>
      <c r="BJ4" s="286"/>
      <c r="BK4" s="286"/>
      <c r="BL4" s="286"/>
      <c r="BM4" s="287"/>
      <c r="BN4" s="285" t="s">
        <v>22</v>
      </c>
      <c r="BO4" s="286"/>
      <c r="BP4" s="286"/>
      <c r="BQ4" s="286"/>
      <c r="BR4" s="286"/>
      <c r="BS4" s="288"/>
      <c r="BT4" s="285" t="s">
        <v>84</v>
      </c>
      <c r="BU4" s="286"/>
      <c r="BV4" s="286"/>
      <c r="BW4" s="286"/>
      <c r="BX4" s="286"/>
      <c r="BY4" s="288"/>
      <c r="BZ4" s="285" t="s">
        <v>87</v>
      </c>
      <c r="CA4" s="286"/>
      <c r="CB4" s="286"/>
      <c r="CC4" s="286"/>
      <c r="CD4" s="286"/>
      <c r="CE4" s="288"/>
      <c r="CF4" s="285" t="s">
        <v>88</v>
      </c>
      <c r="CG4" s="286"/>
      <c r="CH4" s="286"/>
      <c r="CI4" s="286"/>
      <c r="CJ4" s="286"/>
      <c r="CK4" s="288"/>
      <c r="CL4" s="285" t="s">
        <v>93</v>
      </c>
      <c r="CM4" s="286"/>
      <c r="CN4" s="286"/>
      <c r="CO4" s="286"/>
      <c r="CP4" s="286"/>
      <c r="CQ4" s="288"/>
      <c r="CR4" s="285" t="s">
        <v>96</v>
      </c>
      <c r="CS4" s="286"/>
      <c r="CT4" s="286"/>
      <c r="CU4" s="286"/>
      <c r="CV4" s="286"/>
      <c r="CW4" s="288"/>
      <c r="CX4" s="285" t="s">
        <v>99</v>
      </c>
      <c r="CY4" s="286"/>
      <c r="CZ4" s="286"/>
      <c r="DA4" s="286"/>
      <c r="DB4" s="286"/>
      <c r="DC4" s="288"/>
      <c r="DD4" s="285" t="s">
        <v>102</v>
      </c>
      <c r="DE4" s="286"/>
      <c r="DF4" s="286"/>
      <c r="DG4" s="286"/>
      <c r="DH4" s="286"/>
      <c r="DI4" s="288"/>
      <c r="DJ4" s="285" t="s">
        <v>105</v>
      </c>
      <c r="DK4" s="286"/>
      <c r="DL4" s="286"/>
      <c r="DM4" s="286"/>
      <c r="DN4" s="286"/>
      <c r="DO4" s="288"/>
      <c r="DP4" s="285" t="s">
        <v>108</v>
      </c>
      <c r="DQ4" s="286"/>
      <c r="DR4" s="286"/>
      <c r="DS4" s="286"/>
      <c r="DT4" s="286"/>
      <c r="DU4" s="288"/>
      <c r="DV4" s="285" t="s">
        <v>111</v>
      </c>
      <c r="DW4" s="286"/>
      <c r="DX4" s="286"/>
      <c r="DY4" s="286"/>
      <c r="DZ4" s="286"/>
      <c r="EA4" s="288"/>
      <c r="EB4" s="285" t="s">
        <v>133</v>
      </c>
      <c r="EC4" s="286"/>
      <c r="ED4" s="286"/>
      <c r="EE4" s="286"/>
      <c r="EF4" s="286"/>
      <c r="EG4" s="288"/>
      <c r="EH4" s="285" t="s">
        <v>137</v>
      </c>
      <c r="EI4" s="286"/>
      <c r="EJ4" s="286"/>
      <c r="EK4" s="286"/>
      <c r="EL4" s="286"/>
      <c r="EM4" s="288"/>
      <c r="EN4" s="285" t="s">
        <v>141</v>
      </c>
      <c r="EO4" s="286"/>
      <c r="EP4" s="286"/>
      <c r="EQ4" s="286"/>
      <c r="ER4" s="286"/>
      <c r="ES4" s="288"/>
      <c r="ET4" s="285" t="s">
        <v>145</v>
      </c>
      <c r="EU4" s="286"/>
      <c r="EV4" s="286"/>
      <c r="EW4" s="286"/>
      <c r="EX4" s="286"/>
      <c r="EY4" s="288"/>
      <c r="EZ4" s="285" t="s">
        <v>149</v>
      </c>
      <c r="FA4" s="286"/>
      <c r="FB4" s="286"/>
      <c r="FC4" s="286"/>
      <c r="FD4" s="286"/>
      <c r="FE4" s="288"/>
      <c r="FF4" s="285" t="s">
        <v>153</v>
      </c>
      <c r="FG4" s="286"/>
      <c r="FH4" s="286"/>
      <c r="FI4" s="286"/>
      <c r="FJ4" s="286"/>
      <c r="FK4" s="288"/>
      <c r="FL4" s="285" t="s">
        <v>157</v>
      </c>
      <c r="FM4" s="286"/>
      <c r="FN4" s="286"/>
      <c r="FO4" s="286"/>
      <c r="FP4" s="286"/>
      <c r="FQ4" s="288"/>
      <c r="FR4" s="285" t="s">
        <v>161</v>
      </c>
      <c r="FS4" s="286"/>
      <c r="FT4" s="286"/>
      <c r="FU4" s="286"/>
      <c r="FV4" s="286"/>
      <c r="FW4" s="288"/>
      <c r="FX4" s="285" t="s">
        <v>165</v>
      </c>
      <c r="FY4" s="286"/>
      <c r="FZ4" s="286"/>
      <c r="GA4" s="286"/>
      <c r="GB4" s="286"/>
      <c r="GC4" s="288"/>
      <c r="GD4" s="285" t="s">
        <v>168</v>
      </c>
      <c r="GE4" s="286"/>
      <c r="GF4" s="286"/>
      <c r="GG4" s="286"/>
      <c r="GH4" s="286"/>
      <c r="GI4" s="288"/>
      <c r="GJ4" s="317"/>
      <c r="GK4" s="292"/>
      <c r="GL4" s="320"/>
      <c r="GM4" s="240"/>
    </row>
    <row r="5" spans="1:196" s="23" customFormat="1" ht="246" customHeight="1" thickBot="1" x14ac:dyDescent="0.25">
      <c r="A5" s="295"/>
      <c r="B5" s="299"/>
      <c r="C5" s="303" t="s">
        <v>190</v>
      </c>
      <c r="D5" s="304"/>
      <c r="E5" s="303" t="s">
        <v>73</v>
      </c>
      <c r="F5" s="304"/>
      <c r="G5" s="308"/>
      <c r="H5" s="290"/>
      <c r="I5" s="290"/>
      <c r="J5" s="315"/>
      <c r="K5" s="284"/>
      <c r="L5" s="310"/>
      <c r="M5" s="61" t="s">
        <v>57</v>
      </c>
      <c r="N5" s="119" t="s">
        <v>123</v>
      </c>
      <c r="O5" s="62" t="s">
        <v>65</v>
      </c>
      <c r="P5" s="62" t="s">
        <v>77</v>
      </c>
      <c r="Q5" s="63" t="s">
        <v>23</v>
      </c>
      <c r="R5" s="61" t="s">
        <v>24</v>
      </c>
      <c r="S5" s="119" t="s">
        <v>124</v>
      </c>
      <c r="T5" s="62" t="s">
        <v>57</v>
      </c>
      <c r="U5" s="62" t="s">
        <v>65</v>
      </c>
      <c r="V5" s="62" t="s">
        <v>77</v>
      </c>
      <c r="W5" s="63" t="s">
        <v>25</v>
      </c>
      <c r="X5" s="61" t="s">
        <v>26</v>
      </c>
      <c r="Y5" s="119" t="s">
        <v>125</v>
      </c>
      <c r="Z5" s="62" t="s">
        <v>57</v>
      </c>
      <c r="AA5" s="62" t="s">
        <v>65</v>
      </c>
      <c r="AB5" s="62" t="s">
        <v>77</v>
      </c>
      <c r="AC5" s="63" t="s">
        <v>27</v>
      </c>
      <c r="AD5" s="61" t="s">
        <v>28</v>
      </c>
      <c r="AE5" s="119" t="s">
        <v>126</v>
      </c>
      <c r="AF5" s="62" t="s">
        <v>57</v>
      </c>
      <c r="AG5" s="62" t="s">
        <v>65</v>
      </c>
      <c r="AH5" s="62" t="s">
        <v>77</v>
      </c>
      <c r="AI5" s="63" t="s">
        <v>29</v>
      </c>
      <c r="AJ5" s="61" t="s">
        <v>30</v>
      </c>
      <c r="AK5" s="119" t="s">
        <v>127</v>
      </c>
      <c r="AL5" s="62" t="s">
        <v>57</v>
      </c>
      <c r="AM5" s="62" t="s">
        <v>65</v>
      </c>
      <c r="AN5" s="62" t="s">
        <v>77</v>
      </c>
      <c r="AO5" s="63" t="s">
        <v>31</v>
      </c>
      <c r="AP5" s="61" t="s">
        <v>32</v>
      </c>
      <c r="AQ5" s="119" t="s">
        <v>128</v>
      </c>
      <c r="AR5" s="62" t="s">
        <v>57</v>
      </c>
      <c r="AS5" s="62" t="s">
        <v>65</v>
      </c>
      <c r="AT5" s="62" t="s">
        <v>77</v>
      </c>
      <c r="AU5" s="63" t="s">
        <v>33</v>
      </c>
      <c r="AV5" s="61" t="s">
        <v>34</v>
      </c>
      <c r="AW5" s="119" t="s">
        <v>129</v>
      </c>
      <c r="AX5" s="62" t="s">
        <v>57</v>
      </c>
      <c r="AY5" s="62" t="s">
        <v>65</v>
      </c>
      <c r="AZ5" s="62" t="s">
        <v>77</v>
      </c>
      <c r="BA5" s="63" t="s">
        <v>35</v>
      </c>
      <c r="BB5" s="61" t="s">
        <v>36</v>
      </c>
      <c r="BC5" s="119" t="s">
        <v>130</v>
      </c>
      <c r="BD5" s="62" t="s">
        <v>57</v>
      </c>
      <c r="BE5" s="62" t="s">
        <v>65</v>
      </c>
      <c r="BF5" s="62" t="s">
        <v>77</v>
      </c>
      <c r="BG5" s="63" t="s">
        <v>37</v>
      </c>
      <c r="BH5" s="61" t="s">
        <v>38</v>
      </c>
      <c r="BI5" s="119" t="s">
        <v>131</v>
      </c>
      <c r="BJ5" s="62" t="s">
        <v>57</v>
      </c>
      <c r="BK5" s="62" t="s">
        <v>65</v>
      </c>
      <c r="BL5" s="62" t="s">
        <v>77</v>
      </c>
      <c r="BM5" s="63" t="s">
        <v>39</v>
      </c>
      <c r="BN5" s="61" t="s">
        <v>40</v>
      </c>
      <c r="BO5" s="119" t="s">
        <v>132</v>
      </c>
      <c r="BP5" s="62" t="s">
        <v>57</v>
      </c>
      <c r="BQ5" s="62" t="s">
        <v>65</v>
      </c>
      <c r="BR5" s="62" t="s">
        <v>77</v>
      </c>
      <c r="BS5" s="77" t="s">
        <v>41</v>
      </c>
      <c r="BT5" s="61" t="s">
        <v>85</v>
      </c>
      <c r="BU5" s="119" t="s">
        <v>114</v>
      </c>
      <c r="BV5" s="117" t="s">
        <v>57</v>
      </c>
      <c r="BW5" s="117" t="s">
        <v>65</v>
      </c>
      <c r="BX5" s="117" t="s">
        <v>77</v>
      </c>
      <c r="BY5" s="118" t="s">
        <v>86</v>
      </c>
      <c r="BZ5" s="61" t="s">
        <v>89</v>
      </c>
      <c r="CA5" s="119" t="s">
        <v>115</v>
      </c>
      <c r="CB5" s="117" t="s">
        <v>57</v>
      </c>
      <c r="CC5" s="117" t="s">
        <v>65</v>
      </c>
      <c r="CD5" s="117" t="s">
        <v>77</v>
      </c>
      <c r="CE5" s="118" t="s">
        <v>90</v>
      </c>
      <c r="CF5" s="61" t="s">
        <v>91</v>
      </c>
      <c r="CG5" s="119" t="s">
        <v>116</v>
      </c>
      <c r="CH5" s="117" t="s">
        <v>57</v>
      </c>
      <c r="CI5" s="117" t="s">
        <v>65</v>
      </c>
      <c r="CJ5" s="117" t="s">
        <v>77</v>
      </c>
      <c r="CK5" s="118" t="s">
        <v>92</v>
      </c>
      <c r="CL5" s="61" t="s">
        <v>94</v>
      </c>
      <c r="CM5" s="119" t="s">
        <v>117</v>
      </c>
      <c r="CN5" s="117" t="s">
        <v>57</v>
      </c>
      <c r="CO5" s="117" t="s">
        <v>65</v>
      </c>
      <c r="CP5" s="117" t="s">
        <v>77</v>
      </c>
      <c r="CQ5" s="118" t="s">
        <v>95</v>
      </c>
      <c r="CR5" s="61" t="s">
        <v>97</v>
      </c>
      <c r="CS5" s="119" t="s">
        <v>118</v>
      </c>
      <c r="CT5" s="117" t="s">
        <v>57</v>
      </c>
      <c r="CU5" s="117" t="s">
        <v>65</v>
      </c>
      <c r="CV5" s="117" t="s">
        <v>77</v>
      </c>
      <c r="CW5" s="118" t="s">
        <v>98</v>
      </c>
      <c r="CX5" s="61" t="s">
        <v>100</v>
      </c>
      <c r="CY5" s="119" t="s">
        <v>119</v>
      </c>
      <c r="CZ5" s="117" t="s">
        <v>57</v>
      </c>
      <c r="DA5" s="117" t="s">
        <v>65</v>
      </c>
      <c r="DB5" s="117" t="s">
        <v>77</v>
      </c>
      <c r="DC5" s="118" t="s">
        <v>101</v>
      </c>
      <c r="DD5" s="61" t="s">
        <v>103</v>
      </c>
      <c r="DE5" s="119" t="s">
        <v>120</v>
      </c>
      <c r="DF5" s="117" t="s">
        <v>57</v>
      </c>
      <c r="DG5" s="117" t="s">
        <v>65</v>
      </c>
      <c r="DH5" s="117" t="s">
        <v>77</v>
      </c>
      <c r="DI5" s="118" t="s">
        <v>104</v>
      </c>
      <c r="DJ5" s="61" t="s">
        <v>106</v>
      </c>
      <c r="DK5" s="117" t="s">
        <v>66</v>
      </c>
      <c r="DL5" s="117" t="s">
        <v>57</v>
      </c>
      <c r="DM5" s="117" t="s">
        <v>65</v>
      </c>
      <c r="DN5" s="117" t="s">
        <v>77</v>
      </c>
      <c r="DO5" s="118" t="s">
        <v>107</v>
      </c>
      <c r="DP5" s="61" t="s">
        <v>109</v>
      </c>
      <c r="DQ5" s="119" t="s">
        <v>121</v>
      </c>
      <c r="DR5" s="117" t="s">
        <v>57</v>
      </c>
      <c r="DS5" s="117" t="s">
        <v>65</v>
      </c>
      <c r="DT5" s="117" t="s">
        <v>77</v>
      </c>
      <c r="DU5" s="118" t="s">
        <v>110</v>
      </c>
      <c r="DV5" s="61" t="s">
        <v>113</v>
      </c>
      <c r="DW5" s="119" t="s">
        <v>122</v>
      </c>
      <c r="DX5" s="117" t="s">
        <v>57</v>
      </c>
      <c r="DY5" s="117" t="s">
        <v>65</v>
      </c>
      <c r="DZ5" s="117" t="s">
        <v>77</v>
      </c>
      <c r="EA5" s="118" t="s">
        <v>112</v>
      </c>
      <c r="EB5" s="61" t="s">
        <v>134</v>
      </c>
      <c r="EC5" s="120" t="s">
        <v>135</v>
      </c>
      <c r="ED5" s="120" t="s">
        <v>57</v>
      </c>
      <c r="EE5" s="120" t="s">
        <v>65</v>
      </c>
      <c r="EF5" s="120" t="s">
        <v>77</v>
      </c>
      <c r="EG5" s="121" t="s">
        <v>136</v>
      </c>
      <c r="EH5" s="61" t="s">
        <v>138</v>
      </c>
      <c r="EI5" s="120" t="s">
        <v>139</v>
      </c>
      <c r="EJ5" s="120" t="s">
        <v>57</v>
      </c>
      <c r="EK5" s="120" t="s">
        <v>65</v>
      </c>
      <c r="EL5" s="120" t="s">
        <v>77</v>
      </c>
      <c r="EM5" s="121" t="s">
        <v>140</v>
      </c>
      <c r="EN5" s="61" t="s">
        <v>142</v>
      </c>
      <c r="EO5" s="120" t="s">
        <v>143</v>
      </c>
      <c r="EP5" s="120" t="s">
        <v>57</v>
      </c>
      <c r="EQ5" s="120" t="s">
        <v>65</v>
      </c>
      <c r="ER5" s="120" t="s">
        <v>77</v>
      </c>
      <c r="ES5" s="121" t="s">
        <v>144</v>
      </c>
      <c r="ET5" s="61" t="s">
        <v>146</v>
      </c>
      <c r="EU5" s="120" t="s">
        <v>147</v>
      </c>
      <c r="EV5" s="120" t="s">
        <v>57</v>
      </c>
      <c r="EW5" s="120" t="s">
        <v>65</v>
      </c>
      <c r="EX5" s="120" t="s">
        <v>77</v>
      </c>
      <c r="EY5" s="121" t="s">
        <v>148</v>
      </c>
      <c r="EZ5" s="61" t="s">
        <v>150</v>
      </c>
      <c r="FA5" s="120" t="s">
        <v>151</v>
      </c>
      <c r="FB5" s="120" t="s">
        <v>57</v>
      </c>
      <c r="FC5" s="120" t="s">
        <v>65</v>
      </c>
      <c r="FD5" s="120" t="s">
        <v>77</v>
      </c>
      <c r="FE5" s="121" t="s">
        <v>152</v>
      </c>
      <c r="FF5" s="61" t="s">
        <v>154</v>
      </c>
      <c r="FG5" s="120" t="s">
        <v>155</v>
      </c>
      <c r="FH5" s="120" t="s">
        <v>57</v>
      </c>
      <c r="FI5" s="120" t="s">
        <v>65</v>
      </c>
      <c r="FJ5" s="120" t="s">
        <v>77</v>
      </c>
      <c r="FK5" s="121" t="s">
        <v>156</v>
      </c>
      <c r="FL5" s="61" t="s">
        <v>158</v>
      </c>
      <c r="FM5" s="120" t="s">
        <v>159</v>
      </c>
      <c r="FN5" s="120" t="s">
        <v>57</v>
      </c>
      <c r="FO5" s="120" t="s">
        <v>65</v>
      </c>
      <c r="FP5" s="120" t="s">
        <v>77</v>
      </c>
      <c r="FQ5" s="121" t="s">
        <v>160</v>
      </c>
      <c r="FR5" s="61" t="s">
        <v>162</v>
      </c>
      <c r="FS5" s="120" t="s">
        <v>163</v>
      </c>
      <c r="FT5" s="120" t="s">
        <v>57</v>
      </c>
      <c r="FU5" s="120" t="s">
        <v>65</v>
      </c>
      <c r="FV5" s="120" t="s">
        <v>77</v>
      </c>
      <c r="FW5" s="121" t="s">
        <v>164</v>
      </c>
      <c r="FX5" s="61" t="s">
        <v>166</v>
      </c>
      <c r="FY5" s="120" t="s">
        <v>170</v>
      </c>
      <c r="FZ5" s="120" t="s">
        <v>57</v>
      </c>
      <c r="GA5" s="120" t="s">
        <v>65</v>
      </c>
      <c r="GB5" s="120" t="s">
        <v>77</v>
      </c>
      <c r="GC5" s="121" t="s">
        <v>167</v>
      </c>
      <c r="GD5" s="61" t="s">
        <v>169</v>
      </c>
      <c r="GE5" s="120" t="s">
        <v>171</v>
      </c>
      <c r="GF5" s="120" t="s">
        <v>57</v>
      </c>
      <c r="GG5" s="120" t="s">
        <v>65</v>
      </c>
      <c r="GH5" s="120" t="s">
        <v>77</v>
      </c>
      <c r="GI5" s="121" t="s">
        <v>172</v>
      </c>
      <c r="GJ5" s="318"/>
      <c r="GK5" s="293"/>
      <c r="GL5" s="321"/>
      <c r="GM5" s="241" t="s">
        <v>214</v>
      </c>
    </row>
    <row r="6" spans="1:196" s="23" customFormat="1" ht="19.5" thickBot="1" x14ac:dyDescent="0.25">
      <c r="A6" s="296"/>
      <c r="B6" s="91" t="s">
        <v>42</v>
      </c>
      <c r="C6" s="66" t="s">
        <v>43</v>
      </c>
      <c r="D6" s="67" t="s">
        <v>44</v>
      </c>
      <c r="E6" s="66" t="s">
        <v>45</v>
      </c>
      <c r="F6" s="67" t="s">
        <v>46</v>
      </c>
      <c r="G6" s="60" t="s">
        <v>1</v>
      </c>
      <c r="H6" s="59" t="s">
        <v>2</v>
      </c>
      <c r="I6" s="49" t="s">
        <v>71</v>
      </c>
      <c r="J6" s="98" t="s">
        <v>69</v>
      </c>
      <c r="K6" s="103" t="s">
        <v>47</v>
      </c>
      <c r="L6" s="65" t="s">
        <v>48</v>
      </c>
      <c r="M6" s="66" t="s">
        <v>47</v>
      </c>
      <c r="N6" s="59" t="s">
        <v>55</v>
      </c>
      <c r="O6" s="59" t="s">
        <v>54</v>
      </c>
      <c r="P6" s="59" t="s">
        <v>53</v>
      </c>
      <c r="Q6" s="67" t="s">
        <v>52</v>
      </c>
      <c r="R6" s="66" t="s">
        <v>46</v>
      </c>
      <c r="S6" s="59" t="s">
        <v>55</v>
      </c>
      <c r="T6" s="59" t="s">
        <v>47</v>
      </c>
      <c r="U6" s="59" t="s">
        <v>54</v>
      </c>
      <c r="V6" s="59" t="s">
        <v>53</v>
      </c>
      <c r="W6" s="67" t="s">
        <v>52</v>
      </c>
      <c r="X6" s="66" t="s">
        <v>46</v>
      </c>
      <c r="Y6" s="59" t="s">
        <v>55</v>
      </c>
      <c r="Z6" s="59" t="s">
        <v>47</v>
      </c>
      <c r="AA6" s="59" t="s">
        <v>54</v>
      </c>
      <c r="AB6" s="59" t="s">
        <v>53</v>
      </c>
      <c r="AC6" s="67" t="s">
        <v>52</v>
      </c>
      <c r="AD6" s="66" t="s">
        <v>46</v>
      </c>
      <c r="AE6" s="59" t="s">
        <v>55</v>
      </c>
      <c r="AF6" s="59" t="s">
        <v>47</v>
      </c>
      <c r="AG6" s="59" t="s">
        <v>54</v>
      </c>
      <c r="AH6" s="59" t="s">
        <v>53</v>
      </c>
      <c r="AI6" s="67" t="s">
        <v>52</v>
      </c>
      <c r="AJ6" s="66" t="s">
        <v>46</v>
      </c>
      <c r="AK6" s="59" t="s">
        <v>55</v>
      </c>
      <c r="AL6" s="59" t="s">
        <v>47</v>
      </c>
      <c r="AM6" s="59" t="s">
        <v>54</v>
      </c>
      <c r="AN6" s="59" t="s">
        <v>53</v>
      </c>
      <c r="AO6" s="67" t="s">
        <v>52</v>
      </c>
      <c r="AP6" s="66" t="s">
        <v>46</v>
      </c>
      <c r="AQ6" s="59" t="s">
        <v>55</v>
      </c>
      <c r="AR6" s="59" t="s">
        <v>47</v>
      </c>
      <c r="AS6" s="59" t="s">
        <v>54</v>
      </c>
      <c r="AT6" s="59" t="s">
        <v>53</v>
      </c>
      <c r="AU6" s="67" t="s">
        <v>52</v>
      </c>
      <c r="AV6" s="66" t="s">
        <v>46</v>
      </c>
      <c r="AW6" s="59" t="s">
        <v>55</v>
      </c>
      <c r="AX6" s="59" t="s">
        <v>47</v>
      </c>
      <c r="AY6" s="59" t="s">
        <v>54</v>
      </c>
      <c r="AZ6" s="59" t="s">
        <v>53</v>
      </c>
      <c r="BA6" s="67" t="s">
        <v>52</v>
      </c>
      <c r="BB6" s="66" t="s">
        <v>46</v>
      </c>
      <c r="BC6" s="59" t="s">
        <v>55</v>
      </c>
      <c r="BD6" s="59" t="s">
        <v>47</v>
      </c>
      <c r="BE6" s="59" t="s">
        <v>54</v>
      </c>
      <c r="BF6" s="59" t="s">
        <v>53</v>
      </c>
      <c r="BG6" s="67" t="s">
        <v>52</v>
      </c>
      <c r="BH6" s="66" t="s">
        <v>46</v>
      </c>
      <c r="BI6" s="59" t="s">
        <v>55</v>
      </c>
      <c r="BJ6" s="59" t="s">
        <v>47</v>
      </c>
      <c r="BK6" s="59" t="s">
        <v>54</v>
      </c>
      <c r="BL6" s="59" t="s">
        <v>53</v>
      </c>
      <c r="BM6" s="67" t="s">
        <v>52</v>
      </c>
      <c r="BN6" s="66" t="s">
        <v>46</v>
      </c>
      <c r="BO6" s="59" t="s">
        <v>55</v>
      </c>
      <c r="BP6" s="59" t="s">
        <v>47</v>
      </c>
      <c r="BQ6" s="59" t="s">
        <v>54</v>
      </c>
      <c r="BR6" s="59" t="s">
        <v>53</v>
      </c>
      <c r="BS6" s="98" t="s">
        <v>52</v>
      </c>
      <c r="BT6" s="66" t="s">
        <v>46</v>
      </c>
      <c r="BU6" s="59" t="s">
        <v>55</v>
      </c>
      <c r="BV6" s="59" t="s">
        <v>47</v>
      </c>
      <c r="BW6" s="59" t="s">
        <v>83</v>
      </c>
      <c r="BX6" s="59" t="s">
        <v>53</v>
      </c>
      <c r="BY6" s="98" t="s">
        <v>52</v>
      </c>
      <c r="BZ6" s="66" t="s">
        <v>46</v>
      </c>
      <c r="CA6" s="59" t="s">
        <v>55</v>
      </c>
      <c r="CB6" s="59" t="s">
        <v>47</v>
      </c>
      <c r="CC6" s="59" t="s">
        <v>83</v>
      </c>
      <c r="CD6" s="59" t="s">
        <v>53</v>
      </c>
      <c r="CE6" s="98" t="s">
        <v>52</v>
      </c>
      <c r="CF6" s="66" t="s">
        <v>46</v>
      </c>
      <c r="CG6" s="59" t="s">
        <v>55</v>
      </c>
      <c r="CH6" s="59" t="s">
        <v>47</v>
      </c>
      <c r="CI6" s="59" t="s">
        <v>83</v>
      </c>
      <c r="CJ6" s="59" t="s">
        <v>53</v>
      </c>
      <c r="CK6" s="98" t="s">
        <v>52</v>
      </c>
      <c r="CL6" s="66" t="s">
        <v>46</v>
      </c>
      <c r="CM6" s="59" t="s">
        <v>55</v>
      </c>
      <c r="CN6" s="59" t="s">
        <v>47</v>
      </c>
      <c r="CO6" s="59" t="s">
        <v>83</v>
      </c>
      <c r="CP6" s="59" t="s">
        <v>53</v>
      </c>
      <c r="CQ6" s="98" t="s">
        <v>52</v>
      </c>
      <c r="CR6" s="66" t="s">
        <v>46</v>
      </c>
      <c r="CS6" s="59" t="s">
        <v>55</v>
      </c>
      <c r="CT6" s="59" t="s">
        <v>47</v>
      </c>
      <c r="CU6" s="59" t="s">
        <v>83</v>
      </c>
      <c r="CV6" s="59" t="s">
        <v>53</v>
      </c>
      <c r="CW6" s="98" t="s">
        <v>52</v>
      </c>
      <c r="CX6" s="66" t="s">
        <v>46</v>
      </c>
      <c r="CY6" s="59" t="s">
        <v>55</v>
      </c>
      <c r="CZ6" s="59" t="s">
        <v>47</v>
      </c>
      <c r="DA6" s="59" t="s">
        <v>83</v>
      </c>
      <c r="DB6" s="59" t="s">
        <v>53</v>
      </c>
      <c r="DC6" s="98" t="s">
        <v>52</v>
      </c>
      <c r="DD6" s="66" t="s">
        <v>46</v>
      </c>
      <c r="DE6" s="59" t="s">
        <v>55</v>
      </c>
      <c r="DF6" s="59" t="s">
        <v>47</v>
      </c>
      <c r="DG6" s="59" t="s">
        <v>83</v>
      </c>
      <c r="DH6" s="59" t="s">
        <v>53</v>
      </c>
      <c r="DI6" s="98" t="s">
        <v>52</v>
      </c>
      <c r="DJ6" s="66" t="s">
        <v>46</v>
      </c>
      <c r="DK6" s="59" t="s">
        <v>55</v>
      </c>
      <c r="DL6" s="59" t="s">
        <v>47</v>
      </c>
      <c r="DM6" s="59" t="s">
        <v>83</v>
      </c>
      <c r="DN6" s="59" t="s">
        <v>53</v>
      </c>
      <c r="DO6" s="98" t="s">
        <v>52</v>
      </c>
      <c r="DP6" s="66" t="s">
        <v>46</v>
      </c>
      <c r="DQ6" s="59" t="s">
        <v>55</v>
      </c>
      <c r="DR6" s="59" t="s">
        <v>47</v>
      </c>
      <c r="DS6" s="59" t="s">
        <v>83</v>
      </c>
      <c r="DT6" s="59" t="s">
        <v>53</v>
      </c>
      <c r="DU6" s="98" t="s">
        <v>52</v>
      </c>
      <c r="DV6" s="66" t="s">
        <v>46</v>
      </c>
      <c r="DW6" s="59" t="s">
        <v>55</v>
      </c>
      <c r="DX6" s="59" t="s">
        <v>47</v>
      </c>
      <c r="DY6" s="59" t="s">
        <v>83</v>
      </c>
      <c r="DZ6" s="59" t="s">
        <v>53</v>
      </c>
      <c r="EA6" s="98" t="s">
        <v>52</v>
      </c>
      <c r="EB6" s="66" t="s">
        <v>46</v>
      </c>
      <c r="EC6" s="59" t="s">
        <v>55</v>
      </c>
      <c r="ED6" s="59" t="s">
        <v>47</v>
      </c>
      <c r="EE6" s="59" t="s">
        <v>83</v>
      </c>
      <c r="EF6" s="59" t="s">
        <v>53</v>
      </c>
      <c r="EG6" s="98" t="s">
        <v>52</v>
      </c>
      <c r="EH6" s="66" t="s">
        <v>46</v>
      </c>
      <c r="EI6" s="59" t="s">
        <v>55</v>
      </c>
      <c r="EJ6" s="59" t="s">
        <v>47</v>
      </c>
      <c r="EK6" s="59" t="s">
        <v>83</v>
      </c>
      <c r="EL6" s="59" t="s">
        <v>53</v>
      </c>
      <c r="EM6" s="98" t="s">
        <v>52</v>
      </c>
      <c r="EN6" s="66" t="s">
        <v>46</v>
      </c>
      <c r="EO6" s="59" t="s">
        <v>55</v>
      </c>
      <c r="EP6" s="59" t="s">
        <v>47</v>
      </c>
      <c r="EQ6" s="59" t="s">
        <v>83</v>
      </c>
      <c r="ER6" s="59" t="s">
        <v>53</v>
      </c>
      <c r="ES6" s="98" t="s">
        <v>52</v>
      </c>
      <c r="ET6" s="66" t="s">
        <v>46</v>
      </c>
      <c r="EU6" s="59" t="s">
        <v>55</v>
      </c>
      <c r="EV6" s="59" t="s">
        <v>47</v>
      </c>
      <c r="EW6" s="59" t="s">
        <v>83</v>
      </c>
      <c r="EX6" s="59" t="s">
        <v>53</v>
      </c>
      <c r="EY6" s="98" t="s">
        <v>52</v>
      </c>
      <c r="EZ6" s="66" t="s">
        <v>46</v>
      </c>
      <c r="FA6" s="59" t="s">
        <v>55</v>
      </c>
      <c r="FB6" s="59" t="s">
        <v>47</v>
      </c>
      <c r="FC6" s="59" t="s">
        <v>83</v>
      </c>
      <c r="FD6" s="59" t="s">
        <v>53</v>
      </c>
      <c r="FE6" s="98" t="s">
        <v>52</v>
      </c>
      <c r="FF6" s="66" t="s">
        <v>46</v>
      </c>
      <c r="FG6" s="59" t="s">
        <v>55</v>
      </c>
      <c r="FH6" s="59" t="s">
        <v>47</v>
      </c>
      <c r="FI6" s="59" t="s">
        <v>83</v>
      </c>
      <c r="FJ6" s="59" t="s">
        <v>53</v>
      </c>
      <c r="FK6" s="98" t="s">
        <v>52</v>
      </c>
      <c r="FL6" s="66" t="s">
        <v>46</v>
      </c>
      <c r="FM6" s="59" t="s">
        <v>55</v>
      </c>
      <c r="FN6" s="59" t="s">
        <v>47</v>
      </c>
      <c r="FO6" s="59" t="s">
        <v>83</v>
      </c>
      <c r="FP6" s="59" t="s">
        <v>53</v>
      </c>
      <c r="FQ6" s="98" t="s">
        <v>52</v>
      </c>
      <c r="FR6" s="66" t="s">
        <v>46</v>
      </c>
      <c r="FS6" s="59" t="s">
        <v>55</v>
      </c>
      <c r="FT6" s="59" t="s">
        <v>47</v>
      </c>
      <c r="FU6" s="59" t="s">
        <v>83</v>
      </c>
      <c r="FV6" s="59" t="s">
        <v>53</v>
      </c>
      <c r="FW6" s="98" t="s">
        <v>52</v>
      </c>
      <c r="FX6" s="66" t="s">
        <v>46</v>
      </c>
      <c r="FY6" s="59" t="s">
        <v>55</v>
      </c>
      <c r="FZ6" s="59" t="s">
        <v>47</v>
      </c>
      <c r="GA6" s="59" t="s">
        <v>83</v>
      </c>
      <c r="GB6" s="59" t="s">
        <v>53</v>
      </c>
      <c r="GC6" s="98" t="s">
        <v>52</v>
      </c>
      <c r="GD6" s="66" t="s">
        <v>46</v>
      </c>
      <c r="GE6" s="59" t="s">
        <v>55</v>
      </c>
      <c r="GF6" s="59" t="s">
        <v>47</v>
      </c>
      <c r="GG6" s="59" t="s">
        <v>83</v>
      </c>
      <c r="GH6" s="59" t="s">
        <v>53</v>
      </c>
      <c r="GI6" s="98" t="s">
        <v>52</v>
      </c>
      <c r="GJ6" s="65" t="s">
        <v>52</v>
      </c>
      <c r="GK6" s="242" t="s">
        <v>60</v>
      </c>
      <c r="GL6" s="243" t="s">
        <v>74</v>
      </c>
      <c r="GM6" s="233"/>
    </row>
    <row r="7" spans="1:196" s="24" customFormat="1" thickBot="1" x14ac:dyDescent="0.25">
      <c r="A7" s="88">
        <v>1</v>
      </c>
      <c r="B7" s="92">
        <f t="shared" ref="B7:Y7" si="0">A7+1</f>
        <v>2</v>
      </c>
      <c r="C7" s="55">
        <f t="shared" si="0"/>
        <v>3</v>
      </c>
      <c r="D7" s="58">
        <f t="shared" si="0"/>
        <v>4</v>
      </c>
      <c r="E7" s="55">
        <f t="shared" si="0"/>
        <v>5</v>
      </c>
      <c r="F7" s="58">
        <f t="shared" si="0"/>
        <v>6</v>
      </c>
      <c r="G7" s="87">
        <f>F7+1</f>
        <v>7</v>
      </c>
      <c r="H7" s="56">
        <f t="shared" si="0"/>
        <v>8</v>
      </c>
      <c r="I7" s="56">
        <f t="shared" ref="I7:L7" si="1">H7+1</f>
        <v>9</v>
      </c>
      <c r="J7" s="99">
        <f>I7+1</f>
        <v>10</v>
      </c>
      <c r="K7" s="104">
        <f>J7+1</f>
        <v>11</v>
      </c>
      <c r="L7" s="57">
        <f t="shared" si="1"/>
        <v>12</v>
      </c>
      <c r="M7" s="55">
        <f>L7+1</f>
        <v>13</v>
      </c>
      <c r="N7" s="56">
        <f t="shared" si="0"/>
        <v>14</v>
      </c>
      <c r="O7" s="56">
        <f t="shared" si="0"/>
        <v>15</v>
      </c>
      <c r="P7" s="56">
        <f t="shared" si="0"/>
        <v>16</v>
      </c>
      <c r="Q7" s="58">
        <f t="shared" si="0"/>
        <v>17</v>
      </c>
      <c r="R7" s="55">
        <f t="shared" si="0"/>
        <v>18</v>
      </c>
      <c r="S7" s="56">
        <f t="shared" si="0"/>
        <v>19</v>
      </c>
      <c r="T7" s="56">
        <f>S7+1</f>
        <v>20</v>
      </c>
      <c r="U7" s="56">
        <f t="shared" si="0"/>
        <v>21</v>
      </c>
      <c r="V7" s="56">
        <f t="shared" si="0"/>
        <v>22</v>
      </c>
      <c r="W7" s="58">
        <f t="shared" si="0"/>
        <v>23</v>
      </c>
      <c r="X7" s="55">
        <f t="shared" si="0"/>
        <v>24</v>
      </c>
      <c r="Y7" s="56">
        <f t="shared" si="0"/>
        <v>25</v>
      </c>
      <c r="Z7" s="56">
        <f>Y7+1</f>
        <v>26</v>
      </c>
      <c r="AA7" s="56">
        <f t="shared" ref="AA7:AZ7" si="2">Z7+1</f>
        <v>27</v>
      </c>
      <c r="AB7" s="56">
        <f t="shared" si="2"/>
        <v>28</v>
      </c>
      <c r="AC7" s="58">
        <f t="shared" si="2"/>
        <v>29</v>
      </c>
      <c r="AD7" s="55">
        <f t="shared" si="2"/>
        <v>30</v>
      </c>
      <c r="AE7" s="56">
        <f t="shared" si="2"/>
        <v>31</v>
      </c>
      <c r="AF7" s="56">
        <f>AE7+1</f>
        <v>32</v>
      </c>
      <c r="AG7" s="56">
        <f t="shared" si="2"/>
        <v>33</v>
      </c>
      <c r="AH7" s="56">
        <f t="shared" si="2"/>
        <v>34</v>
      </c>
      <c r="AI7" s="58">
        <f t="shared" si="2"/>
        <v>35</v>
      </c>
      <c r="AJ7" s="55">
        <f t="shared" si="2"/>
        <v>36</v>
      </c>
      <c r="AK7" s="56">
        <f t="shared" si="2"/>
        <v>37</v>
      </c>
      <c r="AL7" s="56">
        <f>AK7+1</f>
        <v>38</v>
      </c>
      <c r="AM7" s="56">
        <f t="shared" si="2"/>
        <v>39</v>
      </c>
      <c r="AN7" s="56">
        <f t="shared" si="2"/>
        <v>40</v>
      </c>
      <c r="AO7" s="58">
        <f t="shared" si="2"/>
        <v>41</v>
      </c>
      <c r="AP7" s="55">
        <f t="shared" si="2"/>
        <v>42</v>
      </c>
      <c r="AQ7" s="56">
        <f t="shared" si="2"/>
        <v>43</v>
      </c>
      <c r="AR7" s="56">
        <f>AQ7+1</f>
        <v>44</v>
      </c>
      <c r="AS7" s="56">
        <f t="shared" si="2"/>
        <v>45</v>
      </c>
      <c r="AT7" s="56">
        <f t="shared" si="2"/>
        <v>46</v>
      </c>
      <c r="AU7" s="58">
        <f t="shared" si="2"/>
        <v>47</v>
      </c>
      <c r="AV7" s="55">
        <f t="shared" si="2"/>
        <v>48</v>
      </c>
      <c r="AW7" s="56">
        <f t="shared" si="2"/>
        <v>49</v>
      </c>
      <c r="AX7" s="56">
        <f>AW7+1</f>
        <v>50</v>
      </c>
      <c r="AY7" s="56">
        <f t="shared" si="2"/>
        <v>51</v>
      </c>
      <c r="AZ7" s="56">
        <f t="shared" si="2"/>
        <v>52</v>
      </c>
      <c r="BA7" s="58">
        <f t="shared" ref="BA7:BS7" si="3">AZ7+1</f>
        <v>53</v>
      </c>
      <c r="BB7" s="55">
        <f t="shared" si="3"/>
        <v>54</v>
      </c>
      <c r="BC7" s="56">
        <f t="shared" si="3"/>
        <v>55</v>
      </c>
      <c r="BD7" s="56">
        <f>BC7+1</f>
        <v>56</v>
      </c>
      <c r="BE7" s="56">
        <f t="shared" si="3"/>
        <v>57</v>
      </c>
      <c r="BF7" s="56">
        <f t="shared" si="3"/>
        <v>58</v>
      </c>
      <c r="BG7" s="58">
        <f t="shared" si="3"/>
        <v>59</v>
      </c>
      <c r="BH7" s="55">
        <f t="shared" si="3"/>
        <v>60</v>
      </c>
      <c r="BI7" s="56">
        <f t="shared" si="3"/>
        <v>61</v>
      </c>
      <c r="BJ7" s="56">
        <f>BI7+1</f>
        <v>62</v>
      </c>
      <c r="BK7" s="56">
        <f t="shared" si="3"/>
        <v>63</v>
      </c>
      <c r="BL7" s="56">
        <f t="shared" si="3"/>
        <v>64</v>
      </c>
      <c r="BM7" s="58">
        <f t="shared" si="3"/>
        <v>65</v>
      </c>
      <c r="BN7" s="55">
        <f t="shared" si="3"/>
        <v>66</v>
      </c>
      <c r="BO7" s="56">
        <f t="shared" si="3"/>
        <v>67</v>
      </c>
      <c r="BP7" s="56">
        <f>BO7+1</f>
        <v>68</v>
      </c>
      <c r="BQ7" s="56">
        <f t="shared" si="3"/>
        <v>69</v>
      </c>
      <c r="BR7" s="56">
        <f t="shared" si="3"/>
        <v>70</v>
      </c>
      <c r="BS7" s="99">
        <f t="shared" si="3"/>
        <v>71</v>
      </c>
      <c r="BT7" s="55">
        <f t="shared" ref="BT7" si="4">BS7+1</f>
        <v>72</v>
      </c>
      <c r="BU7" s="56">
        <f t="shared" ref="BU7" si="5">BT7+1</f>
        <v>73</v>
      </c>
      <c r="BV7" s="56">
        <f>BU7+1</f>
        <v>74</v>
      </c>
      <c r="BW7" s="56">
        <f t="shared" ref="BW7" si="6">BV7+1</f>
        <v>75</v>
      </c>
      <c r="BX7" s="56">
        <f t="shared" ref="BX7" si="7">BW7+1</f>
        <v>76</v>
      </c>
      <c r="BY7" s="99">
        <f t="shared" ref="BY7" si="8">BX7+1</f>
        <v>77</v>
      </c>
      <c r="BZ7" s="55">
        <f t="shared" ref="BZ7" si="9">BY7+1</f>
        <v>78</v>
      </c>
      <c r="CA7" s="56">
        <f t="shared" ref="CA7" si="10">BZ7+1</f>
        <v>79</v>
      </c>
      <c r="CB7" s="56">
        <f>CA7+1</f>
        <v>80</v>
      </c>
      <c r="CC7" s="56">
        <f t="shared" ref="CC7" si="11">CB7+1</f>
        <v>81</v>
      </c>
      <c r="CD7" s="56">
        <f t="shared" ref="CD7" si="12">CC7+1</f>
        <v>82</v>
      </c>
      <c r="CE7" s="99">
        <f t="shared" ref="CE7" si="13">CD7+1</f>
        <v>83</v>
      </c>
      <c r="CF7" s="55">
        <f t="shared" ref="CF7" si="14">CE7+1</f>
        <v>84</v>
      </c>
      <c r="CG7" s="56">
        <f t="shared" ref="CG7" si="15">CF7+1</f>
        <v>85</v>
      </c>
      <c r="CH7" s="56">
        <f>CG7+1</f>
        <v>86</v>
      </c>
      <c r="CI7" s="56">
        <f t="shared" ref="CI7" si="16">CH7+1</f>
        <v>87</v>
      </c>
      <c r="CJ7" s="56">
        <f t="shared" ref="CJ7" si="17">CI7+1</f>
        <v>88</v>
      </c>
      <c r="CK7" s="99">
        <f t="shared" ref="CK7" si="18">CJ7+1</f>
        <v>89</v>
      </c>
      <c r="CL7" s="55">
        <f t="shared" ref="CL7" si="19">CK7+1</f>
        <v>90</v>
      </c>
      <c r="CM7" s="56">
        <f t="shared" ref="CM7" si="20">CL7+1</f>
        <v>91</v>
      </c>
      <c r="CN7" s="56">
        <f>CM7+1</f>
        <v>92</v>
      </c>
      <c r="CO7" s="56">
        <f t="shared" ref="CO7" si="21">CN7+1</f>
        <v>93</v>
      </c>
      <c r="CP7" s="56">
        <f t="shared" ref="CP7" si="22">CO7+1</f>
        <v>94</v>
      </c>
      <c r="CQ7" s="99">
        <f t="shared" ref="CQ7" si="23">CP7+1</f>
        <v>95</v>
      </c>
      <c r="CR7" s="55">
        <f t="shared" ref="CR7" si="24">CQ7+1</f>
        <v>96</v>
      </c>
      <c r="CS7" s="56">
        <f t="shared" ref="CS7" si="25">CR7+1</f>
        <v>97</v>
      </c>
      <c r="CT7" s="56">
        <f>CS7+1</f>
        <v>98</v>
      </c>
      <c r="CU7" s="56">
        <f t="shared" ref="CU7" si="26">CT7+1</f>
        <v>99</v>
      </c>
      <c r="CV7" s="56">
        <f t="shared" ref="CV7" si="27">CU7+1</f>
        <v>100</v>
      </c>
      <c r="CW7" s="99">
        <f t="shared" ref="CW7" si="28">CV7+1</f>
        <v>101</v>
      </c>
      <c r="CX7" s="55">
        <f t="shared" ref="CX7" si="29">CW7+1</f>
        <v>102</v>
      </c>
      <c r="CY7" s="56">
        <f t="shared" ref="CY7" si="30">CX7+1</f>
        <v>103</v>
      </c>
      <c r="CZ7" s="56">
        <f>CY7+1</f>
        <v>104</v>
      </c>
      <c r="DA7" s="56">
        <f t="shared" ref="DA7" si="31">CZ7+1</f>
        <v>105</v>
      </c>
      <c r="DB7" s="56">
        <f t="shared" ref="DB7" si="32">DA7+1</f>
        <v>106</v>
      </c>
      <c r="DC7" s="99">
        <f t="shared" ref="DC7" si="33">DB7+1</f>
        <v>107</v>
      </c>
      <c r="DD7" s="55">
        <f t="shared" ref="DD7" si="34">DC7+1</f>
        <v>108</v>
      </c>
      <c r="DE7" s="56">
        <f t="shared" ref="DE7" si="35">DD7+1</f>
        <v>109</v>
      </c>
      <c r="DF7" s="56">
        <f>DE7+1</f>
        <v>110</v>
      </c>
      <c r="DG7" s="56">
        <f t="shared" ref="DG7" si="36">DF7+1</f>
        <v>111</v>
      </c>
      <c r="DH7" s="56">
        <f t="shared" ref="DH7" si="37">DG7+1</f>
        <v>112</v>
      </c>
      <c r="DI7" s="99">
        <f t="shared" ref="DI7" si="38">DH7+1</f>
        <v>113</v>
      </c>
      <c r="DJ7" s="55">
        <f t="shared" ref="DJ7" si="39">DI7+1</f>
        <v>114</v>
      </c>
      <c r="DK7" s="56">
        <f t="shared" ref="DK7" si="40">DJ7+1</f>
        <v>115</v>
      </c>
      <c r="DL7" s="56">
        <f>DK7+1</f>
        <v>116</v>
      </c>
      <c r="DM7" s="56">
        <f t="shared" ref="DM7" si="41">DL7+1</f>
        <v>117</v>
      </c>
      <c r="DN7" s="56">
        <f t="shared" ref="DN7" si="42">DM7+1</f>
        <v>118</v>
      </c>
      <c r="DO7" s="99">
        <f t="shared" ref="DO7" si="43">DN7+1</f>
        <v>119</v>
      </c>
      <c r="DP7" s="55">
        <f t="shared" ref="DP7" si="44">DO7+1</f>
        <v>120</v>
      </c>
      <c r="DQ7" s="56">
        <f t="shared" ref="DQ7" si="45">DP7+1</f>
        <v>121</v>
      </c>
      <c r="DR7" s="56">
        <f>DQ7+1</f>
        <v>122</v>
      </c>
      <c r="DS7" s="56">
        <f t="shared" ref="DS7" si="46">DR7+1</f>
        <v>123</v>
      </c>
      <c r="DT7" s="56">
        <f t="shared" ref="DT7" si="47">DS7+1</f>
        <v>124</v>
      </c>
      <c r="DU7" s="99">
        <f t="shared" ref="DU7" si="48">DT7+1</f>
        <v>125</v>
      </c>
      <c r="DV7" s="55">
        <f t="shared" ref="DV7" si="49">DU7+1</f>
        <v>126</v>
      </c>
      <c r="DW7" s="56">
        <f t="shared" ref="DW7" si="50">DV7+1</f>
        <v>127</v>
      </c>
      <c r="DX7" s="56">
        <f>DW7+1</f>
        <v>128</v>
      </c>
      <c r="DY7" s="56">
        <f t="shared" ref="DY7" si="51">DX7+1</f>
        <v>129</v>
      </c>
      <c r="DZ7" s="56">
        <f t="shared" ref="DZ7" si="52">DY7+1</f>
        <v>130</v>
      </c>
      <c r="EA7" s="99">
        <f t="shared" ref="EA7" si="53">DZ7+1</f>
        <v>131</v>
      </c>
      <c r="EB7" s="55">
        <f t="shared" ref="EB7" si="54">EA7+1</f>
        <v>132</v>
      </c>
      <c r="EC7" s="56">
        <f t="shared" ref="EC7" si="55">EB7+1</f>
        <v>133</v>
      </c>
      <c r="ED7" s="56">
        <f>EC7+1</f>
        <v>134</v>
      </c>
      <c r="EE7" s="56">
        <f t="shared" ref="EE7" si="56">ED7+1</f>
        <v>135</v>
      </c>
      <c r="EF7" s="56">
        <f t="shared" ref="EF7" si="57">EE7+1</f>
        <v>136</v>
      </c>
      <c r="EG7" s="99">
        <f t="shared" ref="EG7" si="58">EF7+1</f>
        <v>137</v>
      </c>
      <c r="EH7" s="55">
        <f t="shared" ref="EH7" si="59">EG7+1</f>
        <v>138</v>
      </c>
      <c r="EI7" s="56">
        <f t="shared" ref="EI7" si="60">EH7+1</f>
        <v>139</v>
      </c>
      <c r="EJ7" s="56">
        <f>EI7+1</f>
        <v>140</v>
      </c>
      <c r="EK7" s="56">
        <f t="shared" ref="EK7" si="61">EJ7+1</f>
        <v>141</v>
      </c>
      <c r="EL7" s="56">
        <f t="shared" ref="EL7" si="62">EK7+1</f>
        <v>142</v>
      </c>
      <c r="EM7" s="99">
        <f t="shared" ref="EM7" si="63">EL7+1</f>
        <v>143</v>
      </c>
      <c r="EN7" s="55">
        <f t="shared" ref="EN7" si="64">EM7+1</f>
        <v>144</v>
      </c>
      <c r="EO7" s="56">
        <f t="shared" ref="EO7" si="65">EN7+1</f>
        <v>145</v>
      </c>
      <c r="EP7" s="56">
        <f>EO7+1</f>
        <v>146</v>
      </c>
      <c r="EQ7" s="56">
        <f t="shared" ref="EQ7" si="66">EP7+1</f>
        <v>147</v>
      </c>
      <c r="ER7" s="56">
        <f t="shared" ref="ER7" si="67">EQ7+1</f>
        <v>148</v>
      </c>
      <c r="ES7" s="99">
        <f t="shared" ref="ES7" si="68">ER7+1</f>
        <v>149</v>
      </c>
      <c r="ET7" s="55">
        <f t="shared" ref="ET7" si="69">ES7+1</f>
        <v>150</v>
      </c>
      <c r="EU7" s="56">
        <f t="shared" ref="EU7" si="70">ET7+1</f>
        <v>151</v>
      </c>
      <c r="EV7" s="56">
        <f>EU7+1</f>
        <v>152</v>
      </c>
      <c r="EW7" s="56">
        <f t="shared" ref="EW7" si="71">EV7+1</f>
        <v>153</v>
      </c>
      <c r="EX7" s="56">
        <f t="shared" ref="EX7" si="72">EW7+1</f>
        <v>154</v>
      </c>
      <c r="EY7" s="99">
        <f t="shared" ref="EY7" si="73">EX7+1</f>
        <v>155</v>
      </c>
      <c r="EZ7" s="55">
        <f t="shared" ref="EZ7" si="74">EY7+1</f>
        <v>156</v>
      </c>
      <c r="FA7" s="56">
        <f t="shared" ref="FA7" si="75">EZ7+1</f>
        <v>157</v>
      </c>
      <c r="FB7" s="56">
        <f>FA7+1</f>
        <v>158</v>
      </c>
      <c r="FC7" s="56">
        <f t="shared" ref="FC7" si="76">FB7+1</f>
        <v>159</v>
      </c>
      <c r="FD7" s="56">
        <f t="shared" ref="FD7" si="77">FC7+1</f>
        <v>160</v>
      </c>
      <c r="FE7" s="99">
        <f t="shared" ref="FE7" si="78">FD7+1</f>
        <v>161</v>
      </c>
      <c r="FF7" s="55">
        <f t="shared" ref="FF7" si="79">FE7+1</f>
        <v>162</v>
      </c>
      <c r="FG7" s="56">
        <f t="shared" ref="FG7" si="80">FF7+1</f>
        <v>163</v>
      </c>
      <c r="FH7" s="56">
        <f>FG7+1</f>
        <v>164</v>
      </c>
      <c r="FI7" s="56">
        <f t="shared" ref="FI7" si="81">FH7+1</f>
        <v>165</v>
      </c>
      <c r="FJ7" s="56">
        <f t="shared" ref="FJ7" si="82">FI7+1</f>
        <v>166</v>
      </c>
      <c r="FK7" s="99">
        <f t="shared" ref="FK7" si="83">FJ7+1</f>
        <v>167</v>
      </c>
      <c r="FL7" s="55">
        <f t="shared" ref="FL7" si="84">FK7+1</f>
        <v>168</v>
      </c>
      <c r="FM7" s="56">
        <f t="shared" ref="FM7" si="85">FL7+1</f>
        <v>169</v>
      </c>
      <c r="FN7" s="56">
        <f>FM7+1</f>
        <v>170</v>
      </c>
      <c r="FO7" s="56">
        <f t="shared" ref="FO7" si="86">FN7+1</f>
        <v>171</v>
      </c>
      <c r="FP7" s="56">
        <f t="shared" ref="FP7" si="87">FO7+1</f>
        <v>172</v>
      </c>
      <c r="FQ7" s="99">
        <f t="shared" ref="FQ7" si="88">FP7+1</f>
        <v>173</v>
      </c>
      <c r="FR7" s="55">
        <f t="shared" ref="FR7" si="89">FQ7+1</f>
        <v>174</v>
      </c>
      <c r="FS7" s="56">
        <f t="shared" ref="FS7" si="90">FR7+1</f>
        <v>175</v>
      </c>
      <c r="FT7" s="56">
        <f>FS7+1</f>
        <v>176</v>
      </c>
      <c r="FU7" s="56">
        <f t="shared" ref="FU7" si="91">FT7+1</f>
        <v>177</v>
      </c>
      <c r="FV7" s="56">
        <f t="shared" ref="FV7" si="92">FU7+1</f>
        <v>178</v>
      </c>
      <c r="FW7" s="99">
        <f t="shared" ref="FW7" si="93">FV7+1</f>
        <v>179</v>
      </c>
      <c r="FX7" s="55">
        <f t="shared" ref="FX7" si="94">FW7+1</f>
        <v>180</v>
      </c>
      <c r="FY7" s="56">
        <f t="shared" ref="FY7" si="95">FX7+1</f>
        <v>181</v>
      </c>
      <c r="FZ7" s="56">
        <f>FY7+1</f>
        <v>182</v>
      </c>
      <c r="GA7" s="56">
        <f t="shared" ref="GA7" si="96">FZ7+1</f>
        <v>183</v>
      </c>
      <c r="GB7" s="56">
        <f t="shared" ref="GB7" si="97">GA7+1</f>
        <v>184</v>
      </c>
      <c r="GC7" s="99">
        <f t="shared" ref="GC7" si="98">GB7+1</f>
        <v>185</v>
      </c>
      <c r="GD7" s="55">
        <f t="shared" ref="GD7" si="99">GC7+1</f>
        <v>186</v>
      </c>
      <c r="GE7" s="56">
        <f t="shared" ref="GE7" si="100">GD7+1</f>
        <v>187</v>
      </c>
      <c r="GF7" s="56">
        <f>GE7+1</f>
        <v>188</v>
      </c>
      <c r="GG7" s="56">
        <f t="shared" ref="GG7" si="101">GF7+1</f>
        <v>189</v>
      </c>
      <c r="GH7" s="56">
        <f t="shared" ref="GH7" si="102">GG7+1</f>
        <v>190</v>
      </c>
      <c r="GI7" s="99">
        <f t="shared" ref="GI7" si="103">GH7+1</f>
        <v>191</v>
      </c>
      <c r="GJ7" s="57">
        <f>GI7+1</f>
        <v>192</v>
      </c>
      <c r="GK7" s="140">
        <f>GJ7+1</f>
        <v>193</v>
      </c>
      <c r="GL7" s="206">
        <f>GK7+1</f>
        <v>194</v>
      </c>
      <c r="GM7" s="234">
        <v>195</v>
      </c>
    </row>
    <row r="8" spans="1:196" s="25" customFormat="1" ht="19.5" customHeight="1" thickBot="1" x14ac:dyDescent="0.25">
      <c r="A8" s="89" t="s">
        <v>3</v>
      </c>
      <c r="B8" s="93" t="s">
        <v>4</v>
      </c>
      <c r="C8" s="50" t="s">
        <v>49</v>
      </c>
      <c r="D8" s="54" t="s">
        <v>4</v>
      </c>
      <c r="E8" s="50" t="s">
        <v>49</v>
      </c>
      <c r="F8" s="54" t="s">
        <v>4</v>
      </c>
      <c r="G8" s="53" t="s">
        <v>5</v>
      </c>
      <c r="H8" s="51" t="s">
        <v>4</v>
      </c>
      <c r="I8" s="51" t="s">
        <v>50</v>
      </c>
      <c r="J8" s="100" t="s">
        <v>68</v>
      </c>
      <c r="K8" s="105" t="s">
        <v>50</v>
      </c>
      <c r="L8" s="52" t="s">
        <v>4</v>
      </c>
      <c r="M8" s="50" t="s">
        <v>50</v>
      </c>
      <c r="N8" s="51" t="s">
        <v>50</v>
      </c>
      <c r="O8" s="51" t="s">
        <v>50</v>
      </c>
      <c r="P8" s="51" t="s">
        <v>4</v>
      </c>
      <c r="Q8" s="54" t="s">
        <v>4</v>
      </c>
      <c r="R8" s="50" t="s">
        <v>4</v>
      </c>
      <c r="S8" s="51" t="s">
        <v>50</v>
      </c>
      <c r="T8" s="51" t="s">
        <v>50</v>
      </c>
      <c r="U8" s="51" t="s">
        <v>50</v>
      </c>
      <c r="V8" s="51" t="s">
        <v>4</v>
      </c>
      <c r="W8" s="54" t="s">
        <v>4</v>
      </c>
      <c r="X8" s="50" t="s">
        <v>4</v>
      </c>
      <c r="Y8" s="51" t="s">
        <v>50</v>
      </c>
      <c r="Z8" s="51" t="s">
        <v>50</v>
      </c>
      <c r="AA8" s="51" t="s">
        <v>50</v>
      </c>
      <c r="AB8" s="51" t="s">
        <v>4</v>
      </c>
      <c r="AC8" s="54" t="s">
        <v>4</v>
      </c>
      <c r="AD8" s="50" t="s">
        <v>4</v>
      </c>
      <c r="AE8" s="51" t="s">
        <v>50</v>
      </c>
      <c r="AF8" s="51" t="s">
        <v>50</v>
      </c>
      <c r="AG8" s="51" t="s">
        <v>50</v>
      </c>
      <c r="AH8" s="51" t="s">
        <v>4</v>
      </c>
      <c r="AI8" s="54" t="s">
        <v>4</v>
      </c>
      <c r="AJ8" s="50" t="s">
        <v>4</v>
      </c>
      <c r="AK8" s="51" t="s">
        <v>50</v>
      </c>
      <c r="AL8" s="51" t="s">
        <v>50</v>
      </c>
      <c r="AM8" s="51" t="s">
        <v>50</v>
      </c>
      <c r="AN8" s="51" t="s">
        <v>4</v>
      </c>
      <c r="AO8" s="54" t="s">
        <v>4</v>
      </c>
      <c r="AP8" s="50" t="s">
        <v>4</v>
      </c>
      <c r="AQ8" s="51" t="s">
        <v>50</v>
      </c>
      <c r="AR8" s="51" t="s">
        <v>50</v>
      </c>
      <c r="AS8" s="51" t="s">
        <v>50</v>
      </c>
      <c r="AT8" s="51" t="s">
        <v>4</v>
      </c>
      <c r="AU8" s="54" t="s">
        <v>4</v>
      </c>
      <c r="AV8" s="50" t="s">
        <v>4</v>
      </c>
      <c r="AW8" s="51" t="s">
        <v>50</v>
      </c>
      <c r="AX8" s="51" t="s">
        <v>50</v>
      </c>
      <c r="AY8" s="51" t="s">
        <v>50</v>
      </c>
      <c r="AZ8" s="51" t="s">
        <v>4</v>
      </c>
      <c r="BA8" s="54" t="s">
        <v>4</v>
      </c>
      <c r="BB8" s="50" t="s">
        <v>4</v>
      </c>
      <c r="BC8" s="51" t="s">
        <v>50</v>
      </c>
      <c r="BD8" s="51" t="s">
        <v>50</v>
      </c>
      <c r="BE8" s="51" t="s">
        <v>50</v>
      </c>
      <c r="BF8" s="51" t="s">
        <v>4</v>
      </c>
      <c r="BG8" s="54" t="s">
        <v>4</v>
      </c>
      <c r="BH8" s="50" t="s">
        <v>4</v>
      </c>
      <c r="BI8" s="51" t="s">
        <v>50</v>
      </c>
      <c r="BJ8" s="51" t="s">
        <v>50</v>
      </c>
      <c r="BK8" s="51" t="s">
        <v>50</v>
      </c>
      <c r="BL8" s="51" t="s">
        <v>4</v>
      </c>
      <c r="BM8" s="54" t="s">
        <v>4</v>
      </c>
      <c r="BN8" s="50" t="s">
        <v>4</v>
      </c>
      <c r="BO8" s="51" t="s">
        <v>50</v>
      </c>
      <c r="BP8" s="51" t="s">
        <v>50</v>
      </c>
      <c r="BQ8" s="51" t="s">
        <v>50</v>
      </c>
      <c r="BR8" s="51" t="s">
        <v>4</v>
      </c>
      <c r="BS8" s="100" t="s">
        <v>4</v>
      </c>
      <c r="BT8" s="50" t="s">
        <v>4</v>
      </c>
      <c r="BU8" s="51" t="s">
        <v>50</v>
      </c>
      <c r="BV8" s="51" t="s">
        <v>50</v>
      </c>
      <c r="BW8" s="51" t="s">
        <v>50</v>
      </c>
      <c r="BX8" s="51" t="s">
        <v>4</v>
      </c>
      <c r="BY8" s="100" t="s">
        <v>4</v>
      </c>
      <c r="BZ8" s="50" t="s">
        <v>4</v>
      </c>
      <c r="CA8" s="51" t="s">
        <v>50</v>
      </c>
      <c r="CB8" s="51" t="s">
        <v>50</v>
      </c>
      <c r="CC8" s="51" t="s">
        <v>50</v>
      </c>
      <c r="CD8" s="51" t="s">
        <v>4</v>
      </c>
      <c r="CE8" s="100" t="s">
        <v>4</v>
      </c>
      <c r="CF8" s="50" t="s">
        <v>4</v>
      </c>
      <c r="CG8" s="51" t="s">
        <v>50</v>
      </c>
      <c r="CH8" s="51" t="s">
        <v>50</v>
      </c>
      <c r="CI8" s="51" t="s">
        <v>50</v>
      </c>
      <c r="CJ8" s="51" t="s">
        <v>4</v>
      </c>
      <c r="CK8" s="100" t="s">
        <v>4</v>
      </c>
      <c r="CL8" s="50" t="s">
        <v>4</v>
      </c>
      <c r="CM8" s="51" t="s">
        <v>50</v>
      </c>
      <c r="CN8" s="51" t="s">
        <v>50</v>
      </c>
      <c r="CO8" s="51" t="s">
        <v>50</v>
      </c>
      <c r="CP8" s="51" t="s">
        <v>4</v>
      </c>
      <c r="CQ8" s="100" t="s">
        <v>4</v>
      </c>
      <c r="CR8" s="50" t="s">
        <v>4</v>
      </c>
      <c r="CS8" s="51" t="s">
        <v>50</v>
      </c>
      <c r="CT8" s="51" t="s">
        <v>50</v>
      </c>
      <c r="CU8" s="51" t="s">
        <v>50</v>
      </c>
      <c r="CV8" s="51" t="s">
        <v>4</v>
      </c>
      <c r="CW8" s="100" t="s">
        <v>4</v>
      </c>
      <c r="CX8" s="50" t="s">
        <v>4</v>
      </c>
      <c r="CY8" s="51" t="s">
        <v>50</v>
      </c>
      <c r="CZ8" s="51" t="s">
        <v>50</v>
      </c>
      <c r="DA8" s="51" t="s">
        <v>50</v>
      </c>
      <c r="DB8" s="51" t="s">
        <v>4</v>
      </c>
      <c r="DC8" s="100" t="s">
        <v>4</v>
      </c>
      <c r="DD8" s="50" t="s">
        <v>4</v>
      </c>
      <c r="DE8" s="51" t="s">
        <v>50</v>
      </c>
      <c r="DF8" s="51" t="s">
        <v>50</v>
      </c>
      <c r="DG8" s="51" t="s">
        <v>50</v>
      </c>
      <c r="DH8" s="51" t="s">
        <v>4</v>
      </c>
      <c r="DI8" s="100" t="s">
        <v>4</v>
      </c>
      <c r="DJ8" s="50" t="s">
        <v>4</v>
      </c>
      <c r="DK8" s="51" t="s">
        <v>50</v>
      </c>
      <c r="DL8" s="51" t="s">
        <v>50</v>
      </c>
      <c r="DM8" s="51" t="s">
        <v>50</v>
      </c>
      <c r="DN8" s="51" t="s">
        <v>4</v>
      </c>
      <c r="DO8" s="100" t="s">
        <v>4</v>
      </c>
      <c r="DP8" s="50" t="s">
        <v>4</v>
      </c>
      <c r="DQ8" s="51" t="s">
        <v>50</v>
      </c>
      <c r="DR8" s="51" t="s">
        <v>50</v>
      </c>
      <c r="DS8" s="51" t="s">
        <v>50</v>
      </c>
      <c r="DT8" s="51" t="s">
        <v>4</v>
      </c>
      <c r="DU8" s="100" t="s">
        <v>4</v>
      </c>
      <c r="DV8" s="50" t="s">
        <v>4</v>
      </c>
      <c r="DW8" s="51" t="s">
        <v>50</v>
      </c>
      <c r="DX8" s="51" t="s">
        <v>50</v>
      </c>
      <c r="DY8" s="51" t="s">
        <v>50</v>
      </c>
      <c r="DZ8" s="145" t="s">
        <v>4</v>
      </c>
      <c r="EA8" s="100" t="s">
        <v>4</v>
      </c>
      <c r="EB8" s="50" t="s">
        <v>4</v>
      </c>
      <c r="EC8" s="51" t="s">
        <v>50</v>
      </c>
      <c r="ED8" s="51" t="s">
        <v>50</v>
      </c>
      <c r="EE8" s="51" t="s">
        <v>50</v>
      </c>
      <c r="EF8" s="145" t="s">
        <v>4</v>
      </c>
      <c r="EG8" s="100" t="s">
        <v>4</v>
      </c>
      <c r="EH8" s="50" t="s">
        <v>4</v>
      </c>
      <c r="EI8" s="51" t="s">
        <v>50</v>
      </c>
      <c r="EJ8" s="51" t="s">
        <v>50</v>
      </c>
      <c r="EK8" s="51" t="s">
        <v>50</v>
      </c>
      <c r="EL8" s="145" t="s">
        <v>4</v>
      </c>
      <c r="EM8" s="100" t="s">
        <v>4</v>
      </c>
      <c r="EN8" s="34" t="s">
        <v>4</v>
      </c>
      <c r="EO8" s="35" t="s">
        <v>50</v>
      </c>
      <c r="EP8" s="35" t="s">
        <v>50</v>
      </c>
      <c r="EQ8" s="35" t="s">
        <v>50</v>
      </c>
      <c r="ER8" s="35" t="s">
        <v>4</v>
      </c>
      <c r="ES8" s="36" t="s">
        <v>4</v>
      </c>
      <c r="ET8" s="50" t="s">
        <v>4</v>
      </c>
      <c r="EU8" s="51" t="s">
        <v>50</v>
      </c>
      <c r="EV8" s="51" t="s">
        <v>50</v>
      </c>
      <c r="EW8" s="51" t="s">
        <v>50</v>
      </c>
      <c r="EX8" s="145" t="s">
        <v>4</v>
      </c>
      <c r="EY8" s="100" t="s">
        <v>4</v>
      </c>
      <c r="EZ8" s="50" t="s">
        <v>4</v>
      </c>
      <c r="FA8" s="51" t="s">
        <v>50</v>
      </c>
      <c r="FB8" s="51" t="s">
        <v>50</v>
      </c>
      <c r="FC8" s="51" t="s">
        <v>50</v>
      </c>
      <c r="FD8" s="145" t="s">
        <v>4</v>
      </c>
      <c r="FE8" s="100" t="s">
        <v>4</v>
      </c>
      <c r="FF8" s="50" t="s">
        <v>4</v>
      </c>
      <c r="FG8" s="51" t="s">
        <v>50</v>
      </c>
      <c r="FH8" s="51" t="s">
        <v>50</v>
      </c>
      <c r="FI8" s="51" t="s">
        <v>50</v>
      </c>
      <c r="FJ8" s="145" t="s">
        <v>4</v>
      </c>
      <c r="FK8" s="100" t="s">
        <v>4</v>
      </c>
      <c r="FL8" s="50" t="s">
        <v>4</v>
      </c>
      <c r="FM8" s="51" t="s">
        <v>50</v>
      </c>
      <c r="FN8" s="51" t="s">
        <v>50</v>
      </c>
      <c r="FO8" s="51" t="s">
        <v>50</v>
      </c>
      <c r="FP8" s="145" t="s">
        <v>4</v>
      </c>
      <c r="FQ8" s="100" t="s">
        <v>4</v>
      </c>
      <c r="FR8" s="50" t="s">
        <v>4</v>
      </c>
      <c r="FS8" s="51" t="s">
        <v>50</v>
      </c>
      <c r="FT8" s="51" t="s">
        <v>50</v>
      </c>
      <c r="FU8" s="51" t="s">
        <v>50</v>
      </c>
      <c r="FV8" s="145" t="s">
        <v>4</v>
      </c>
      <c r="FW8" s="100" t="s">
        <v>4</v>
      </c>
      <c r="FX8" s="50" t="s">
        <v>4</v>
      </c>
      <c r="FY8" s="51" t="s">
        <v>50</v>
      </c>
      <c r="FZ8" s="51" t="s">
        <v>50</v>
      </c>
      <c r="GA8" s="51" t="s">
        <v>50</v>
      </c>
      <c r="GB8" s="145" t="s">
        <v>4</v>
      </c>
      <c r="GC8" s="100" t="s">
        <v>4</v>
      </c>
      <c r="GD8" s="50" t="s">
        <v>4</v>
      </c>
      <c r="GE8" s="51" t="s">
        <v>50</v>
      </c>
      <c r="GF8" s="51" t="s">
        <v>50</v>
      </c>
      <c r="GG8" s="51" t="s">
        <v>50</v>
      </c>
      <c r="GH8" s="145" t="s">
        <v>4</v>
      </c>
      <c r="GI8" s="100" t="s">
        <v>4</v>
      </c>
      <c r="GJ8" s="142" t="s">
        <v>4</v>
      </c>
      <c r="GK8" s="141" t="s">
        <v>4</v>
      </c>
      <c r="GL8" s="194" t="s">
        <v>50</v>
      </c>
      <c r="GM8" s="235" t="s">
        <v>4</v>
      </c>
    </row>
    <row r="9" spans="1:196" s="22" customFormat="1" x14ac:dyDescent="0.25">
      <c r="A9" s="122" t="s">
        <v>173</v>
      </c>
      <c r="B9" s="129" t="s">
        <v>8</v>
      </c>
      <c r="C9" s="129" t="s">
        <v>8</v>
      </c>
      <c r="D9" s="129" t="s">
        <v>8</v>
      </c>
      <c r="E9" s="129" t="s">
        <v>8</v>
      </c>
      <c r="F9" s="129" t="s">
        <v>8</v>
      </c>
      <c r="G9" s="94">
        <f>'Исходные данные'!C11</f>
        <v>93</v>
      </c>
      <c r="H9" s="44">
        <f>'Исходные данные'!D11</f>
        <v>25117</v>
      </c>
      <c r="I9" s="45">
        <f>'Расчет КРП'!G7</f>
        <v>17.91472169161521</v>
      </c>
      <c r="J9" s="101" t="s">
        <v>8</v>
      </c>
      <c r="K9" s="131">
        <f t="shared" ref="K9:K19" si="104">((H9/G9)/($H$20/$G$20))/I9</f>
        <v>1.7435051560040653E-2</v>
      </c>
      <c r="L9" s="132">
        <f>$D$20*G9/$G$20</f>
        <v>15258.511028634632</v>
      </c>
      <c r="M9" s="135">
        <f>(((H9+L9)/G9)/$J$20)/I9</f>
        <v>2.8026799241439457E-2</v>
      </c>
      <c r="N9" s="136" t="s">
        <v>8</v>
      </c>
      <c r="O9" s="137">
        <f>$N$20-M9</f>
        <v>0.17391580941569829</v>
      </c>
      <c r="P9" s="146">
        <f t="shared" ref="P9:P19" si="105">IF(O9&gt;0,G9*I9*(($H$20+$L$20)/$G$20)*O9,0)</f>
        <v>298083.99125391629</v>
      </c>
      <c r="Q9" s="138">
        <f>IF(($F$20-P$20)&gt;0,P9,$F$20*P9/P$20)</f>
        <v>298083.99125391629</v>
      </c>
      <c r="R9" s="133" t="s">
        <v>8</v>
      </c>
      <c r="S9" s="43" t="s">
        <v>8</v>
      </c>
      <c r="T9" s="47">
        <f t="shared" ref="T9:T19" si="106">(((H9+L9+Q9)/G9)/$J$20)/I9</f>
        <v>0.23494282252187654</v>
      </c>
      <c r="U9" s="46">
        <f t="shared" ref="U9:U19" si="107">S$20-T9</f>
        <v>7.3871746085555523E-2</v>
      </c>
      <c r="V9" s="48">
        <f t="shared" ref="V9:V19" si="108">IF(U9&gt;0,$G9*$I9*(($H$20+$L$20+$Q$20)/$G$20)*U9,0)</f>
        <v>166061.67328034961</v>
      </c>
      <c r="W9" s="74">
        <f t="shared" ref="W9:W19" si="109">IF((R$20-V$20)&gt;0,V9,R$20*V9/V$20)</f>
        <v>166061.67328034961</v>
      </c>
      <c r="X9" s="70" t="s">
        <v>8</v>
      </c>
      <c r="Y9" s="43" t="s">
        <v>8</v>
      </c>
      <c r="Z9" s="47">
        <f t="shared" ref="Z9:Z19" si="110">(((H9+L9+Q9+W9)/G9)/$J$20)/I9</f>
        <v>0.35021510168696474</v>
      </c>
      <c r="AA9" s="46">
        <f t="shared" ref="AA9:AA19" si="111">Y$20-Z9</f>
        <v>7.0975006053737799E-2</v>
      </c>
      <c r="AB9" s="48">
        <f t="shared" ref="AB9:AB19" si="112">IF(AA9&gt;0,$G9*$I9*(($H$20+$L$20+$Q$20+$W$20)/$G$20)*AA9,0)</f>
        <v>203855.30626387158</v>
      </c>
      <c r="AC9" s="74">
        <f t="shared" ref="AC9:AC19" si="113">IF((X$20-AB$20)&gt;0,AB9,X$20*AB9/AB$20)</f>
        <v>203855.30626387158</v>
      </c>
      <c r="AD9" s="70" t="s">
        <v>8</v>
      </c>
      <c r="AE9" s="43" t="s">
        <v>8</v>
      </c>
      <c r="AF9" s="47">
        <f t="shared" ref="AF9:AF19" si="114">(((H9+L9+Q9+W9+AC9)/G9)/$J$20)/I9</f>
        <v>0.49172196060715745</v>
      </c>
      <c r="AG9" s="46">
        <f t="shared" ref="AG9:AG19" si="115">AE$20-AF9</f>
        <v>3.5707691893062776E-2</v>
      </c>
      <c r="AH9" s="48">
        <f t="shared" ref="AH9:AH19" si="116">IF(AG9&gt;0,$G9*$I9*(($H$20+$L$20+$Q$20+$W$20+$AC$20)/$G$20)*AG9,0)</f>
        <v>122920.9816450511</v>
      </c>
      <c r="AI9" s="74">
        <f t="shared" ref="AI9:AI19" si="117">IF((AD$20-AH$20)&gt;0,AH9,AD$20*AH9/AH$20)</f>
        <v>122920.9816450511</v>
      </c>
      <c r="AJ9" s="70" t="s">
        <v>8</v>
      </c>
      <c r="AK9" s="43" t="s">
        <v>8</v>
      </c>
      <c r="AL9" s="47">
        <f t="shared" ref="AL9:AL19" si="118">(((H9+L9+Q9+W9+AC9+AI9)/G9)/$J$20)/I9</f>
        <v>0.5770479809436736</v>
      </c>
      <c r="AM9" s="46">
        <f t="shared" ref="AM9:AM19" si="119">AK$20-AL9</f>
        <v>4.4484988758618282E-2</v>
      </c>
      <c r="AN9" s="48">
        <f t="shared" ref="AN9:AN19" si="120">IF(AM9&gt;0,$G9*$I9*(($H$20+$L$20+$Q$20+$W$20+$AC$20+$AI$20)/$G$20)*AM9,0)</f>
        <v>186736.33052332798</v>
      </c>
      <c r="AO9" s="74">
        <f t="shared" ref="AO9:AO19" si="121">IF((AJ$20-AN$20)&gt;0,AN9,AJ$20*AN9/AN$20)</f>
        <v>77587.962689473687</v>
      </c>
      <c r="AP9" s="70" t="s">
        <v>8</v>
      </c>
      <c r="AQ9" s="43" t="s">
        <v>8</v>
      </c>
      <c r="AR9" s="47">
        <f t="shared" ref="AR9:AR19" si="122">(((H9+L9+Q9+W9+AC9+AI9+AO9)/G9)/$J$20)/I9</f>
        <v>0.630905930934894</v>
      </c>
      <c r="AS9" s="46">
        <f t="shared" ref="AS9:AS19" si="123">AQ$20-AR9</f>
        <v>2.8811189870786902E-2</v>
      </c>
      <c r="AT9" s="48">
        <f t="shared" ref="AT9:AT19" si="124">IF(AS9&gt;0,$G9*$I9*(($H$20+$L$20+$Q$20+$W$20+$AC$20+$AI$20+$AO$20)/$G$20)*AS9,0)</f>
        <v>129012.12657336383</v>
      </c>
      <c r="AU9" s="74">
        <f t="shared" ref="AU9:AU19" si="125">IF((AP$20-AT$20)&gt;0,AT9,AP$20*AT9/AT$20)</f>
        <v>0</v>
      </c>
      <c r="AV9" s="70" t="s">
        <v>8</v>
      </c>
      <c r="AW9" s="43" t="s">
        <v>8</v>
      </c>
      <c r="AX9" s="47">
        <f t="shared" ref="AX9:AX19" si="126">(((H9+L9+Q9+W9+AC9+AI9+AO9+AU9)/G9)/$J$20)/I9</f>
        <v>0.630905930934894</v>
      </c>
      <c r="AY9" s="46">
        <f t="shared" ref="AY9:AY19" si="127">AW$20-AX9</f>
        <v>2.8811189870786902E-2</v>
      </c>
      <c r="AZ9" s="48">
        <f t="shared" ref="AZ9:AZ19" si="128">IF(AY9&gt;0,$G9*$I9*(($H$20+$L$20+$Q$20+$W$20+$AC$20+$AI$20+$AO$20+$AU$20)/$G$20)*AY9,0)</f>
        <v>129012.12657336383</v>
      </c>
      <c r="BA9" s="74">
        <f t="shared" ref="BA9:BA19" si="129">IF((AV$20-AZ$20)&gt;0,AZ9,AV$20*AZ9/AZ$20)</f>
        <v>0</v>
      </c>
      <c r="BB9" s="70" t="s">
        <v>8</v>
      </c>
      <c r="BC9" s="43" t="s">
        <v>8</v>
      </c>
      <c r="BD9" s="47">
        <f t="shared" ref="BD9:BD19" si="130">(((H9+L9+Q9+W9+AC9+AI9+AO9+AU9+BA9)/G9)/$J$20)/I9</f>
        <v>0.630905930934894</v>
      </c>
      <c r="BE9" s="46">
        <f t="shared" ref="BE9:BE19" si="131">BC$20-BD9</f>
        <v>2.8811189870786902E-2</v>
      </c>
      <c r="BF9" s="48">
        <f t="shared" ref="BF9:BF19" si="132">IF(BE9&gt;0,$G9*$I9*(($H$20+$L$20+$Q$20+$W$20+$AC$20+$AI$20+$AO$20+$AU$20+$BA$20)/$G$20)*BE9,0)</f>
        <v>129012.12657336383</v>
      </c>
      <c r="BG9" s="74">
        <f t="shared" ref="BG9:BG19" si="133">IF((BB$20-BF$20)&gt;0,BF9,BB$20*BF9/BF$20)</f>
        <v>0</v>
      </c>
      <c r="BH9" s="70" t="s">
        <v>8</v>
      </c>
      <c r="BI9" s="43" t="s">
        <v>8</v>
      </c>
      <c r="BJ9" s="47">
        <f t="shared" ref="BJ9:BJ19" si="134">(((H9+L9+Q9+W9+AC9+AI9+AO9+AU9+BA9+BG9)/G9)/$J$20)/I9</f>
        <v>0.630905930934894</v>
      </c>
      <c r="BK9" s="46">
        <f t="shared" ref="BK9:BK19" si="135">BI$20-BJ9</f>
        <v>2.8811189870786902E-2</v>
      </c>
      <c r="BL9" s="48">
        <f t="shared" ref="BL9:BL19" si="136">IF(BK9&gt;0,$G9*$I9*(($H$20+$L$20+$Q$20+$W$20+$AC$20+$AI$20+$AO$20+$AU$20+$BA$20+$BG$20)/$G$20)*BK9,0)</f>
        <v>129012.12657336383</v>
      </c>
      <c r="BM9" s="74">
        <f t="shared" ref="BM9:BM19" si="137">IF((BH$20-BL$20)&gt;0,BL9,BH$20*BL9/BL$20)</f>
        <v>0</v>
      </c>
      <c r="BN9" s="70" t="s">
        <v>8</v>
      </c>
      <c r="BO9" s="43" t="s">
        <v>8</v>
      </c>
      <c r="BP9" s="47">
        <f t="shared" ref="BP9:BP19" si="138">(((H9+L9+Q9+W9+AC9+AI9+AO9+AU9+BA9+BG9+BM9)/G9)/$J$20)/I9</f>
        <v>0.630905930934894</v>
      </c>
      <c r="BQ9" s="46">
        <f t="shared" ref="BQ9:BQ19" si="139">BO$20-BP9</f>
        <v>2.8811189870786902E-2</v>
      </c>
      <c r="BR9" s="48">
        <f t="shared" ref="BR9:BR19" si="140">IF(BQ9&gt;0,$G9*$I9*(($H$20+$L$20+$Q$20+$W$20+$AC$20+$AI$20+$AO$20+$AU$20+$BA$20+$BG$20+$BM$20)/$G$20)*BQ9,0)</f>
        <v>129012.12657336383</v>
      </c>
      <c r="BS9" s="114">
        <f t="shared" ref="BS9:BS19" si="141">IF((BN$20-BR$20)&gt;0,BR9,BN$20*BR9/BR$20)</f>
        <v>0</v>
      </c>
      <c r="BT9" s="70" t="s">
        <v>8</v>
      </c>
      <c r="BU9" s="43" t="s">
        <v>8</v>
      </c>
      <c r="BV9" s="47">
        <f t="shared" ref="BV9:BV19" si="142">(((H9+L9+Q9+W9+AC9+AI9+AO9+AU9+BA9+BG9+BM9+BS9)/G9)/$J$20)/I9</f>
        <v>0.630905930934894</v>
      </c>
      <c r="BW9" s="46">
        <f t="shared" ref="BW9:BW19" si="143">BU$20-BV9</f>
        <v>2.8811189870786902E-2</v>
      </c>
      <c r="BX9" s="48">
        <f t="shared" ref="BX9:BX19" si="144">IF(BW9&gt;0,$G9*$I9*(($H$20+$L$20+$Q$20+$W$20+$AC$20+$AI$20+$AO$20+$AU$20+$BA$20+$BG$20+$BM$20+$BS$20)/$G$20)*BW9,0)</f>
        <v>129012.12657336383</v>
      </c>
      <c r="BY9" s="114">
        <f t="shared" ref="BY9:BY19" si="145">IF((BT$20-BX$20)&gt;0,BX9,BT$20*BX9/BX$20)</f>
        <v>0</v>
      </c>
      <c r="BZ9" s="70" t="s">
        <v>8</v>
      </c>
      <c r="CA9" s="43" t="s">
        <v>8</v>
      </c>
      <c r="CB9" s="47">
        <f t="shared" ref="CB9:CB19" si="146">(((H9+L9+Q9+W9+AC9+AI9+AO9+AU9+BA9+BG9+BM9+BS9+BY9)/G9)/$J$20)/I9</f>
        <v>0.630905930934894</v>
      </c>
      <c r="CC9" s="46">
        <f t="shared" ref="CC9:CC19" si="147">CA$20-CB9</f>
        <v>2.8811189870786902E-2</v>
      </c>
      <c r="CD9" s="48">
        <f t="shared" ref="CD9:CD19" si="148">IF(CC9&gt;0,$G9*$I9*(($H$20+$L$20+$Q$20+$W$20+$AC$20+$AI$20+$AO$20+$AU$20+$BA$20+$BG$20+$BM$20+$BS$20+$BY$20)/$G$20)*CC9,0)</f>
        <v>129012.12657336383</v>
      </c>
      <c r="CE9" s="114">
        <f t="shared" ref="CE9:CE19" si="149">IF((BZ$20-CD$20)&gt;0,CD9,BZ$20*CD9/CD$20)</f>
        <v>0</v>
      </c>
      <c r="CF9" s="70" t="s">
        <v>8</v>
      </c>
      <c r="CG9" s="43" t="s">
        <v>8</v>
      </c>
      <c r="CH9" s="47">
        <f t="shared" ref="CH9:CH19" si="150">(((H9+L9+Q9+W9+AC9+AI9+AO9+AU9+BA9+BG9+BM9+BS9+BY9+CE9)/G9)/$J$20)/I9</f>
        <v>0.630905930934894</v>
      </c>
      <c r="CI9" s="46">
        <f t="shared" ref="CI9:CI19" si="151">CG$20-CH9</f>
        <v>2.8811189870786902E-2</v>
      </c>
      <c r="CJ9" s="48">
        <f t="shared" ref="CJ9:CJ19" si="152">IF(CI9&gt;0,$G9*$I9*(($H$20+$L$20+$Q$20+$W$20+$AC$20+$AI$20+$AO$20+$AU$20+$BA$20+$BG$20+$BM$20+$BS$20+$BY$20+$CE$20)/$G$20)*CI9,0)</f>
        <v>129012.12657336383</v>
      </c>
      <c r="CK9" s="114">
        <f t="shared" ref="CK9:CK19" si="153">IF((CF$20-CJ$20)&gt;0,CJ9,CF$20*CJ9/CJ$20)</f>
        <v>0</v>
      </c>
      <c r="CL9" s="70" t="s">
        <v>8</v>
      </c>
      <c r="CM9" s="43" t="s">
        <v>8</v>
      </c>
      <c r="CN9" s="47">
        <f t="shared" ref="CN9:CN19" si="154">(((H9+L9+Q9+W9+AC9+AI9+AO9+AU9+BA9+BG9+BM9+BS9+BY9+CE9+CK9)/G9)/$J$20)/I9</f>
        <v>0.630905930934894</v>
      </c>
      <c r="CO9" s="46">
        <f t="shared" ref="CO9:CO19" si="155">CM$20-CN9</f>
        <v>2.8811189870786902E-2</v>
      </c>
      <c r="CP9" s="48">
        <f t="shared" ref="CP9:CP19" si="156">IF(CO9&gt;0,$G9*$I9*(($H$20+$L$20+$Q$20+$W$20+$AC$20+$AI$20+$AO$20+$AU$20+$BA$20+$BG$20+$BM$20+$BS$20+$BY$20+$CE$20+$CK$20)/$G$20)*CO9,0)</f>
        <v>129012.12657336383</v>
      </c>
      <c r="CQ9" s="114">
        <f t="shared" ref="CQ9:CQ19" si="157">IF((CL$20-CP$20)&gt;0,CP9,CL$20*CP9/CP$20)</f>
        <v>0</v>
      </c>
      <c r="CR9" s="70" t="s">
        <v>8</v>
      </c>
      <c r="CS9" s="43" t="s">
        <v>8</v>
      </c>
      <c r="CT9" s="47">
        <f t="shared" ref="CT9:CT19" si="158">(((H9+L9+Q9+W9+AC9+AI9+AO9+AU9+BA9+BG9+BM9+BS9+BY9+CE9+CK9+CQ9)/G9)/$J$20)/I9</f>
        <v>0.630905930934894</v>
      </c>
      <c r="CU9" s="46">
        <f t="shared" ref="CU9:CU19" si="159">CS$20-CT9</f>
        <v>2.8811189870786902E-2</v>
      </c>
      <c r="CV9" s="48">
        <f t="shared" ref="CV9:CV19" si="160">IF(CU9&gt;0,$G9*$I9*(($H$20+$L$20+$Q$20+$W$20+$AC$20+$AI$20+$AO$20+$AU$20+$BA$20+$BG$20+$BM$20+$BS$20+$BY$20+$CE$20+$CK$20+$CQ$20)/$G$20)*CU9,0)</f>
        <v>129012.12657336383</v>
      </c>
      <c r="CW9" s="114">
        <f t="shared" ref="CW9:CW19" si="161">IF((CR$20-CV$20)&gt;0,CV9,CR$20*CV9/CV$20)</f>
        <v>0</v>
      </c>
      <c r="CX9" s="70" t="s">
        <v>8</v>
      </c>
      <c r="CY9" s="43" t="s">
        <v>8</v>
      </c>
      <c r="CZ9" s="47">
        <f t="shared" ref="CZ9:CZ19" si="162">(((H9+L9+Q9+W9+AC9+AI9+AO9+AU9+BA9+BG9+BM9+BS9+BY9+CE9+CK9+CQ9+CW9)/G9)/$J$20)/I9</f>
        <v>0.630905930934894</v>
      </c>
      <c r="DA9" s="46">
        <f t="shared" ref="DA9:DA19" si="163">CY$20-CZ9</f>
        <v>2.8811189870786902E-2</v>
      </c>
      <c r="DB9" s="48">
        <f t="shared" ref="DB9:DB19" si="164">IF(DA9&gt;0,$G9*$I9*(($H$20+$L$20+$Q$20+$W$20+$AC$20+$AI$20+$AO$20+$AU$20+$BA$20+$BG$20+$BM$20+$BS$20+$BY$20+$CE$20+$CK$20+$CQ$20+$CW$20)/$G$20)*DA9,0)</f>
        <v>129012.12657336383</v>
      </c>
      <c r="DC9" s="114">
        <f t="shared" ref="DC9:DC19" si="165">IF((CX$20-DB$20)&gt;0,DB9,CX$20*DB9/DB$20)</f>
        <v>0</v>
      </c>
      <c r="DD9" s="70" t="s">
        <v>8</v>
      </c>
      <c r="DE9" s="43" t="s">
        <v>8</v>
      </c>
      <c r="DF9" s="47">
        <f t="shared" ref="DF9:DF19" si="166">(((H9+L9+Q9+W9+AC9+AI9+AO9+AU9+BA9+BG9+BM9+BS9+BY9+CE9+CK9+CQ9+CW9+DC9)/G9)/$J$20)/I9</f>
        <v>0.630905930934894</v>
      </c>
      <c r="DG9" s="46">
        <f t="shared" ref="DG9:DG19" si="167">DE$20-DF9</f>
        <v>2.8811189870786902E-2</v>
      </c>
      <c r="DH9" s="48">
        <f t="shared" ref="DH9:DH19" si="168">IF(DG9&gt;0,$G9*$I9*(($H$20+$L$20+$Q$20+$W$20+$AC$20+$AI$20+$AO$20+$AU$20+$BA$20+$BG$20+$BM$20+$BS$20+$BY$20+$CE$20+$CK$20+$CQ$20+$CW$20+$DC$20)/$G$20)*DG9,0)</f>
        <v>129012.12657336383</v>
      </c>
      <c r="DI9" s="114">
        <f t="shared" ref="DI9:DI19" si="169">IF((DD$20-DH$20)&gt;0,DH9,DD$20*DH9/DH$20)</f>
        <v>0</v>
      </c>
      <c r="DJ9" s="70" t="s">
        <v>8</v>
      </c>
      <c r="DK9" s="43" t="s">
        <v>8</v>
      </c>
      <c r="DL9" s="47">
        <f t="shared" ref="DL9:DL19" si="170">(((H9+L9+Q9+W9+AC9+AI9+AO9+AU9+BA9+BG9+BM9+BS9+BY9+CE9+CK9+CQ9+CW9+DC9+DI9)/G9)/$J$20)/I9</f>
        <v>0.630905930934894</v>
      </c>
      <c r="DM9" s="46">
        <f t="shared" ref="DM9:DM19" si="171">DK$20-DL9</f>
        <v>2.8811189870786902E-2</v>
      </c>
      <c r="DN9" s="48">
        <f t="shared" ref="DN9:DN19" si="172">IF(DM9&gt;0,$G9*$I9*(($H$20+$L$20+$Q$20+$W$20+$AC$20+$AI$20+$AO$20+$AU$20+$BA$20+$BG$20+$BM$20+$BS$20+$BY$20+$CE$20+$CK$20+$CQ$20+$CW$20+$DC$20+$DI$20)/$G$20)*DM9,0)</f>
        <v>129012.12657336383</v>
      </c>
      <c r="DO9" s="114">
        <f t="shared" ref="DO9:DO19" si="173">IF((DJ$20-DN$20)&gt;0,DN9,DJ$20*DN9/DN$20)</f>
        <v>0</v>
      </c>
      <c r="DP9" s="70" t="s">
        <v>8</v>
      </c>
      <c r="DQ9" s="43" t="s">
        <v>8</v>
      </c>
      <c r="DR9" s="47">
        <f t="shared" ref="DR9:DR19" si="174">(((H9+L9+Q9+W9+AC9+AI9+AO9+AU9+BA9+BG9+BM9+BS9+BY9+CE9+CK9+CQ9+CW9+DC9+DI9+DO9)/G9)/$J$20)/I9</f>
        <v>0.630905930934894</v>
      </c>
      <c r="DS9" s="46">
        <f t="shared" ref="DS9:DS19" si="175">DQ$20-DR9</f>
        <v>2.8811189870786902E-2</v>
      </c>
      <c r="DT9" s="48">
        <f t="shared" ref="DT9:DT19" si="176">IF(DS9&gt;0,$G9*$I9*(($H$20+$L$20+$Q$20+$W$20+$AC$20+$AI$20+$AO$20+$AU$20+$BA$20+$BG$20+$BM$20+$BS$20+$BY$20+$CE$20+$CK$20+$CQ$20+$CW$20+$DC$20+$DI$20+$DO$20)/$G$20)*DS9,0)</f>
        <v>129012.12657336383</v>
      </c>
      <c r="DU9" s="114">
        <f t="shared" ref="DU9:DU19" si="177">IF((DP$20-DT$20)&gt;0,DT9,DP$20*DT9/DT$20)</f>
        <v>0</v>
      </c>
      <c r="DV9" s="143" t="s">
        <v>8</v>
      </c>
      <c r="DW9" s="136" t="s">
        <v>8</v>
      </c>
      <c r="DX9" s="147">
        <f t="shared" ref="DX9:DX19" si="178">((($H9+$L9+$Q9+$W9+$AC9+$AI9+$AO9+$AU9+$BA9+$BG9+$BM9+$BS9+$BY9+$CE9+$CK9+$CQ9+$CW9+$DC9+$DI9+$DO9+$DU9)/$G9)/$J$20)/$I9</f>
        <v>0.630905930934894</v>
      </c>
      <c r="DY9" s="137">
        <f t="shared" ref="DY9:DY19" si="179">DW$20-DX9</f>
        <v>2.8811189870786902E-2</v>
      </c>
      <c r="DZ9" s="31">
        <f t="shared" ref="DZ9:DZ19" si="180">IF(DY9&gt;0,$G9*$I9*(($H$20+$L$20+$Q$20+$W$20+$AC$20+$AI$20+$AO$20+$AU$20+$BA$20+$BG$20+$BM$20+$BS$20+$BY$20+$CE$20+$CK$20+$CQ$20+$CW$20+$DC$20+$DI$20+$DO$20+$DU$20)/$G$20)*DY9,0)</f>
        <v>129012.12657336383</v>
      </c>
      <c r="EA9" s="138">
        <f t="shared" ref="EA9:EA19" si="181">IF((DV$20-DZ$20)&gt;0,DZ9,DV$20*DZ9/DZ$20)</f>
        <v>0</v>
      </c>
      <c r="EB9" s="143" t="s">
        <v>8</v>
      </c>
      <c r="EC9" s="136" t="s">
        <v>8</v>
      </c>
      <c r="ED9" s="147">
        <f t="shared" ref="ED9:ED19" si="182">((($H9+$L9+$Q9+$W9+$AC9+$AI9+$AO9+$AU9+$BA9+$BG9+$BM9+$BS9+$BY9+$CE9+$CK9+$CQ9+$CW9+$DC9+$DI9+$DO9+$DU9+$EA9)/$G9)/$J$20)/$I9</f>
        <v>0.630905930934894</v>
      </c>
      <c r="EE9" s="137">
        <f t="shared" ref="EE9:EE19" si="183">EC$20-ED9</f>
        <v>2.8811189870786902E-2</v>
      </c>
      <c r="EF9" s="31">
        <f t="shared" ref="EF9:EF19" si="184">IF(EE9&gt;0,$G9*$I9*(($H$20+$L$20+$Q$20+$W$20+$AC$20+$AI$20+$AO$20+$AU$20+$BA$20+$BG$20+$BM$20+$BS$20+$BY$20+$CE$20+$CK$20+$CQ$20+$CW$20+$DC$20+$DI$20+$DO$20+$DU$20+$EA$20)/$G$20)*EE9,0)</f>
        <v>129012.12657336383</v>
      </c>
      <c r="EG9" s="138">
        <f t="shared" ref="EG9:EG19" si="185">IF((EB$20-EF$20)&gt;0,EF9,EB$20*EF9/EF$20)</f>
        <v>0</v>
      </c>
      <c r="EH9" s="143" t="s">
        <v>8</v>
      </c>
      <c r="EI9" s="136" t="s">
        <v>8</v>
      </c>
      <c r="EJ9" s="147">
        <f t="shared" ref="EJ9:EJ19" si="186">((($H9+$L9+$Q9+$W9+$AC9+$AI9+$AO9+$AU9+$BA9+$BG9+$BM9+$BS9+$BY9+$CE9+$CK9+$CQ9+$CW9+$DC9+$DI9+$DO9+$DU9+$EA9+$EG9)/$G9)/$J$20)/$I9</f>
        <v>0.630905930934894</v>
      </c>
      <c r="EK9" s="137">
        <f t="shared" ref="EK9:EK19" si="187">EI$20-EJ9</f>
        <v>2.8811189870786902E-2</v>
      </c>
      <c r="EL9" s="31">
        <f t="shared" ref="EL9:EL19" si="188">IF(EK9&gt;0,$G9*$I9*(($H$20+$L$20+$Q$20+$W$20+$AC$20+$AI$20+$AO$20+$AU$20+$BA$20+$BG$20+$BM$20+$BS$20+$BY$20+$CE$20+$CK$20+$CQ$20+$CW$20+$DC$20+$DI$20+$DO$20+$DU$20+$EA$20+$EG$20)/$G$20)*EK9,0)</f>
        <v>129012.12657336383</v>
      </c>
      <c r="EM9" s="138">
        <f t="shared" ref="EM9:EM19" si="189">IF((EH$20-EL$20)&gt;0,EL9,EH$20*EL9/EL$20)</f>
        <v>0</v>
      </c>
      <c r="EN9" s="70" t="s">
        <v>8</v>
      </c>
      <c r="EO9" s="43" t="s">
        <v>8</v>
      </c>
      <c r="EP9" s="148">
        <f t="shared" ref="EP9:EP19" si="190">((($H9+$L9+$Q9+$W9+$AC9+$AI9+$AO9+$AU9+$BA9+$BG9+$BM9+$BS9+$BY9+$CE9+$CK9+$CQ9+$CW9+$DC9+$DI9+$DO9+$DU9+$EA9+$EG9+$EM9)/$G9)/$J$20)/$I9</f>
        <v>0.630905930934894</v>
      </c>
      <c r="EQ9" s="46">
        <f t="shared" ref="EQ9:EQ19" si="191">EO$20-EP9</f>
        <v>2.8811189870786902E-2</v>
      </c>
      <c r="ER9" s="48">
        <f t="shared" ref="ER9:ER19" si="192">IF(EQ9&gt;0,$G9*$I9*(($H$20+$L$20+$Q$20+$W$20+$AC$20+$AI$20+$AO$20+$AU$20+$BA$20+$BG$20+$BM$20+$BS$20+$BY$20+$CE$20+$CK$20+$CQ$20+$CW$20+$DC$20+$DI$20+$DO$20+$DU$20+$EA$20+$EG$20+$EM$20)/$G$20)*EQ9,0)</f>
        <v>129012.12657336383</v>
      </c>
      <c r="ES9" s="74">
        <f t="shared" ref="ES9:ES19" si="193">IF((EN$20-ER$20)&gt;0,ER9,EN$20*ER9/ER$20)</f>
        <v>0</v>
      </c>
      <c r="ET9" s="143" t="s">
        <v>8</v>
      </c>
      <c r="EU9" s="136" t="s">
        <v>8</v>
      </c>
      <c r="EV9" s="147">
        <f t="shared" ref="EV9:EV19" si="194">((($H9+$L9+$Q9+$W9+$AC9+$AI9+$AO9+$AU9+$BA9+$BG9+$BM9+$BS9+$BY9+$CE9+$CK9+$CQ9+$CW9+$DC9+$DI9+$DO9+$DU9+$EA9+$EG9+$EM9+$ES9)/$G9)/$J$20)/$I9</f>
        <v>0.630905930934894</v>
      </c>
      <c r="EW9" s="137">
        <f t="shared" ref="EW9:EW19" si="195">EU$20-EV9</f>
        <v>2.8811189870786902E-2</v>
      </c>
      <c r="EX9" s="31">
        <f t="shared" ref="EX9:EX19" si="196">IF(EW9&gt;0,$G9*$I9*(($H$20+$L$20+$Q$20+$W$20+$AC$20+$AI$20+$AO$20+$AU$20+$BA$20+$BG$20+$BM$20+$BS$20+$BY$20+$CE$20+$CK$20+$CQ$20+$CW$20+$DC$20+$DI$20+$DO$20+$DU$20+$EA$20+$EG$20+$EM$20+$ES$20)/$G$20)*EW9,0)</f>
        <v>129012.12657336383</v>
      </c>
      <c r="EY9" s="138">
        <f t="shared" ref="EY9:EY19" si="197">IF((ET$20-EX$20)&gt;0,EX9,ET$20*EX9/EX$20)</f>
        <v>0</v>
      </c>
      <c r="EZ9" s="143" t="s">
        <v>8</v>
      </c>
      <c r="FA9" s="136" t="s">
        <v>8</v>
      </c>
      <c r="FB9" s="147">
        <f t="shared" ref="FB9:FB19" si="198">((($H9+$L9+$Q9+$W9+$AC9+$AI9+$AO9+$AU9+$BA9+$BG9+$BM9+$BS9+$BY9+$CE9+$CK9+$CQ9+$CW9+$DC9+$DI9+$DO9+$DU9+$EA9+$EG9+$EM9+$ES9+$EY9)/$G9)/$J$20)/$I9</f>
        <v>0.630905930934894</v>
      </c>
      <c r="FC9" s="137">
        <f t="shared" ref="FC9:FC19" si="199">FA$20-FB9</f>
        <v>2.8811189870786902E-2</v>
      </c>
      <c r="FD9" s="31">
        <f t="shared" ref="FD9:FD19" si="200">IF(FC9&gt;0,$G9*$I9*(($H$20+$L$20+$Q$20+$W$20+$AC$20+$AI$20+$AO$20+$AU$20+$BA$20+$BG$20+$BM$20+$BS$20+$BY$20+$CE$20+$CK$20+$CQ$20+$CW$20+$DC$20+$DI$20+$DO$20+$DU$20+$EA$20+$EG$20+$EM$20+$ES$20+$EY$20)/$G$20)*FC9,0)</f>
        <v>129012.12657336383</v>
      </c>
      <c r="FE9" s="138">
        <f t="shared" ref="FE9:FE19" si="201">IF((EZ$20-FD$20)&gt;0,FD9,EZ$20*FD9/FD$20)</f>
        <v>0</v>
      </c>
      <c r="FF9" s="143" t="s">
        <v>8</v>
      </c>
      <c r="FG9" s="136" t="s">
        <v>8</v>
      </c>
      <c r="FH9" s="147">
        <f t="shared" ref="FH9:FH19" si="202">((($H9+$L9+$Q9+$W9+$AC9+$AI9+$AO9+$AU9+$BA9+$BG9+$BM9+$BS9+$BY9+$CE9+$CK9+$CQ9+$CW9+$DC9+$DI9+$DO9+$DU9+$EA9+$EG9+$EM9+$ES9+$EY9+$FE9)/$G9)/$J$20)/$I9</f>
        <v>0.630905930934894</v>
      </c>
      <c r="FI9" s="137">
        <f t="shared" ref="FI9:FI19" si="203">FG$20-FH9</f>
        <v>2.8811189870786902E-2</v>
      </c>
      <c r="FJ9" s="31">
        <f t="shared" ref="FJ9:FJ19" si="204">IF(FI9&gt;0,$G9*$I9*(($H$20+$L$20+$Q$20+$W$20+$AC$20+$AI$20+$AO$20+$AU$20+$BA$20+$BG$20+$BM$20+$BS$20+$BY$20+$CE$20+$CK$20+$CQ$20+$CW$20+$DC$20+$DI$20+$DO$20+$DU$20+$EA$20+$EG$20+$EM$20+$ES$20+$EY$20+$FE$20)/$G$20)*FI9,0)</f>
        <v>129012.12657336383</v>
      </c>
      <c r="FK9" s="138">
        <f t="shared" ref="FK9:FK19" si="205">IF((FF$20-FJ$20)&gt;0,FJ9,FF$20*FJ9/FJ$20)</f>
        <v>0</v>
      </c>
      <c r="FL9" s="143" t="s">
        <v>8</v>
      </c>
      <c r="FM9" s="136" t="s">
        <v>8</v>
      </c>
      <c r="FN9" s="147">
        <f t="shared" ref="FN9:FN19" si="206">((($H9+$L9+$Q9+$W9+$AC9+$AI9+$AO9+$AU9+$BA9+$BG9+$BM9+$BS9+$BY9+$CE9+$CK9+$CQ9+$CW9+$DC9+$DI9+$DO9+$DU9+$EA9+$EG9+$EM9+$ES9+$EY9+$FE9+$FK9)/$G9)/$J$20)/$I9</f>
        <v>0.630905930934894</v>
      </c>
      <c r="FO9" s="137">
        <f t="shared" ref="FO9:FO19" si="207">FM$20-FN9</f>
        <v>2.8811189870786902E-2</v>
      </c>
      <c r="FP9" s="31">
        <f t="shared" ref="FP9:FP19" si="208">IF(FO9&gt;0,$G9*$I9*(($H$20+$L$20+$Q$20+$W$20+$AC$20+$AI$20+$AO$20+$AU$20+$BA$20+$BG$20+$BM$20+$BS$20+$BY$20+$CE$20+$CK$20+$CQ$20+$CW$20+$DC$20+$DI$20+$DO$20+$DU$20+$EA$20+$EG$20+$EM$20+$ES$20+$EY$20+$FE$20+$FK$20)/$G$20)*FO9,0)</f>
        <v>129012.12657336383</v>
      </c>
      <c r="FQ9" s="138">
        <f t="shared" ref="FQ9:FQ19" si="209">IF((FL$20-FP$20)&gt;0,FP9,FL$20*FP9/FP$20)</f>
        <v>0</v>
      </c>
      <c r="FR9" s="143" t="s">
        <v>8</v>
      </c>
      <c r="FS9" s="136" t="s">
        <v>8</v>
      </c>
      <c r="FT9" s="147">
        <f t="shared" ref="FT9:FT19" si="210">((($H9+$L9+$Q9+$W9+$AC9+$AI9+$AO9+$AU9+$BA9+$BG9+$BM9+$BS9+$BY9+$CE9+$CK9+$CQ9+$CW9+$DC9+$DI9+$DO9+$DU9+$EA9+$EG9+$EM9+$ES9+$EY9+$FE9+$FK9+$FQ9)/$G9)/$J$20)/$I9</f>
        <v>0.630905930934894</v>
      </c>
      <c r="FU9" s="137">
        <f t="shared" ref="FU9:FU19" si="211">FS$20-FT9</f>
        <v>2.8811189870786902E-2</v>
      </c>
      <c r="FV9" s="31">
        <f t="shared" ref="FV9:FV19" si="212">IF(FU9&gt;0,$G9*$I9*(($H$20+$L$20+$Q$20+$W$20+$AC$20+$AI$20+$AO$20+$AU$20+$BA$20+$BG$20+$BM$20+$BS$20+$BY$20+$CE$20+$CK$20+$CQ$20+$CW$20+$DC$20+$DI$20+$DO$20+$DU$20+$EA$20+$EG$20+$EM$20+$ES$20+$EY$20+$FE$20+$FK$20+$FQ$20)/$G$20)*FU9,0)</f>
        <v>129012.12657336383</v>
      </c>
      <c r="FW9" s="138">
        <f t="shared" ref="FW9:FW19" si="213">IF((FR$20-FV$20)&gt;0,FV9,FR$20*FV9/FV$20)</f>
        <v>0</v>
      </c>
      <c r="FX9" s="143" t="s">
        <v>8</v>
      </c>
      <c r="FY9" s="136" t="s">
        <v>8</v>
      </c>
      <c r="FZ9" s="147">
        <f t="shared" ref="FZ9:FZ19" si="214">((($H9+$L9+$Q9+$W9+$AC9+$AI9+$AO9+$AU9+$BA9+$BG9+$BM9+$BS9+$BY9+$CE9+$CK9+$CQ9+$CW9+$DC9+$DI9+$DO9+$DU9+$EA9+$EG9+$EM9+$ES9+$EY9+$FE9+$FK9+$FQ9+$FW9)/$G9)/$J$20)/$I9</f>
        <v>0.630905930934894</v>
      </c>
      <c r="GA9" s="137">
        <f t="shared" ref="GA9:GA19" si="215">FY$20-FZ9</f>
        <v>2.8811189870786902E-2</v>
      </c>
      <c r="GB9" s="31">
        <f t="shared" ref="GB9:GB19" si="216">IF(GA9&gt;0,$G9*$I9*(($H$20+$L$20+$Q$20+$W$20+$AC$20+$AI$20+$AO$20+$AU$20+$BA$20+$BG$20+$BM$20+$BS$20+$BY$20+$CE$20+$CK$20+$CQ$20+$CW$20+$DC$20+$DI$20+$DO$20+$DU$20+$EA$20+$EG$20+$EM$20+$ES$20+$EY$20+$FE$20+$FK$20+$FQ$20+$FW$20)/$G$20)*GA9,0)</f>
        <v>129012.12657336383</v>
      </c>
      <c r="GC9" s="138">
        <f t="shared" ref="GC9:GC19" si="217">IF((FX$20-GB$20)&gt;0,GB9,FX$20*GB9/GB$20)</f>
        <v>0</v>
      </c>
      <c r="GD9" s="143" t="s">
        <v>8</v>
      </c>
      <c r="GE9" s="136" t="s">
        <v>8</v>
      </c>
      <c r="GF9" s="147">
        <f t="shared" ref="GF9:GF19" si="218">((($H9+$L9+$Q9+$W9+$AC9+$AI9+$AO9+$AU9+$BA9+$BG9+$BM9+$BS9+$BY9+$CE9+$CK9+$CQ9+$CW9+$DC9+$DI9+$DO9+$DU9+$EA9+$EG9+$EM9+$ES9+$EY9+$FE9+$FK9+$FQ9+$FW9+$GC9)/$G9)/$J$20)/$I9</f>
        <v>0.630905930934894</v>
      </c>
      <c r="GG9" s="137">
        <f t="shared" ref="GG9:GG19" si="219">GE$20-GF9</f>
        <v>2.8811189870786902E-2</v>
      </c>
      <c r="GH9" s="31">
        <f t="shared" ref="GH9:GH19" si="220">IF(GG9&gt;0,$G9*$I9*(($H$20+$L$20+$Q$20+$W$20+$AC$20+$AI$20+$AO$20+$AU$20+$BA$20+$BG$20+$BM$20+$BS$20+$BY$20+$CE$20+$CK$20+$CQ$20+$CW$20+$DC$20+$DI$20+$DO$20+$DU$20+$EA$20+$EG$20+$EM$20+$ES$20+$EY$20+$FE$20+$FK$20+$FQ$20+$FW$20+$GC$20)/$G$20)*GG9,0)</f>
        <v>129012.12657336383</v>
      </c>
      <c r="GI9" s="151">
        <f t="shared" ref="GI9:GI19" si="221">IF((GD$20-GH$20)&gt;0,GH9,GD$20*GH9/GH$20)</f>
        <v>0</v>
      </c>
      <c r="GJ9" s="149">
        <f>Q9+W9+AC9+AI9+AO9+AU9+BA9+BG9+BM9+BS9+BY9+CE9+CK9+CQ9+CW9+DC9+DI9+DO9+DU9+EA9+EG9+EM9+ES9+EY9+FE9+FK9+FQ9+FW9+GC9+GI9</f>
        <v>868509.91513266216</v>
      </c>
      <c r="GK9" s="253">
        <f t="shared" ref="GK9:GK20" si="222">L9+GJ9</f>
        <v>883768.42616129678</v>
      </c>
      <c r="GL9" s="195">
        <f>K9+GK9/($H$20/$G$20)/G9/I9</f>
        <v>0.630905930934894</v>
      </c>
      <c r="GM9" s="236">
        <v>882281.23</v>
      </c>
      <c r="GN9" s="244"/>
    </row>
    <row r="10" spans="1:196" s="22" customFormat="1" x14ac:dyDescent="0.25">
      <c r="A10" s="110" t="s">
        <v>174</v>
      </c>
      <c r="B10" s="130" t="s">
        <v>8</v>
      </c>
      <c r="C10" s="130" t="s">
        <v>8</v>
      </c>
      <c r="D10" s="130" t="s">
        <v>8</v>
      </c>
      <c r="E10" s="130" t="s">
        <v>8</v>
      </c>
      <c r="F10" s="130" t="s">
        <v>8</v>
      </c>
      <c r="G10" s="95">
        <f>'Исходные данные'!C12</f>
        <v>454</v>
      </c>
      <c r="H10" s="28">
        <f>'Исходные данные'!D12</f>
        <v>308756</v>
      </c>
      <c r="I10" s="29">
        <f>'Расчет КРП'!G8</f>
        <v>7.1284689476607879</v>
      </c>
      <c r="J10" s="102" t="s">
        <v>8</v>
      </c>
      <c r="K10" s="106">
        <f t="shared" si="104"/>
        <v>0.11033461290007408</v>
      </c>
      <c r="L10" s="72">
        <f t="shared" ref="L10:L19" si="223">$D$20*G10/$G$20</f>
        <v>74487.785021506701</v>
      </c>
      <c r="M10" s="68">
        <f t="shared" ref="M10:M19" si="224">(((H10+L10)/G10)/$J$20)/I10</f>
        <v>0.13695298121075269</v>
      </c>
      <c r="N10" s="27" t="s">
        <v>8</v>
      </c>
      <c r="O10" s="30">
        <f t="shared" ref="O10:O19" si="225">$N$20-M10</f>
        <v>6.4989627446385034E-2</v>
      </c>
      <c r="P10" s="31">
        <f t="shared" si="105"/>
        <v>216372.83649378971</v>
      </c>
      <c r="Q10" s="75">
        <f t="shared" ref="Q10:Q19" si="226">IF(($F$20-P$20)&gt;0,P10,$F$20*P10/P$20)</f>
        <v>216372.83649378971</v>
      </c>
      <c r="R10" s="134" t="s">
        <v>8</v>
      </c>
      <c r="S10" s="27" t="s">
        <v>8</v>
      </c>
      <c r="T10" s="32">
        <f t="shared" si="106"/>
        <v>0.21427427425974058</v>
      </c>
      <c r="U10" s="30">
        <f t="shared" si="107"/>
        <v>9.4540294347691484E-2</v>
      </c>
      <c r="V10" s="48">
        <f t="shared" si="108"/>
        <v>412826.05179574346</v>
      </c>
      <c r="W10" s="75">
        <f t="shared" si="109"/>
        <v>412826.05179574346</v>
      </c>
      <c r="X10" s="71" t="s">
        <v>8</v>
      </c>
      <c r="Y10" s="27" t="s">
        <v>8</v>
      </c>
      <c r="Z10" s="32">
        <f t="shared" si="110"/>
        <v>0.36179854138313022</v>
      </c>
      <c r="AA10" s="30">
        <f t="shared" si="111"/>
        <v>5.9391566357572312E-2</v>
      </c>
      <c r="AB10" s="48">
        <f t="shared" si="112"/>
        <v>331360.29038648709</v>
      </c>
      <c r="AC10" s="75">
        <f t="shared" si="113"/>
        <v>331360.29038648709</v>
      </c>
      <c r="AD10" s="71" t="s">
        <v>8</v>
      </c>
      <c r="AE10" s="27" t="s">
        <v>8</v>
      </c>
      <c r="AF10" s="32">
        <f t="shared" si="114"/>
        <v>0.48021084550110421</v>
      </c>
      <c r="AG10" s="30">
        <f t="shared" si="115"/>
        <v>4.7218806999116014E-2</v>
      </c>
      <c r="AH10" s="48">
        <f t="shared" si="116"/>
        <v>315746.35960963211</v>
      </c>
      <c r="AI10" s="75">
        <f t="shared" si="117"/>
        <v>315746.35960963211</v>
      </c>
      <c r="AJ10" s="71" t="s">
        <v>8</v>
      </c>
      <c r="AK10" s="27" t="s">
        <v>8</v>
      </c>
      <c r="AL10" s="32">
        <f t="shared" si="118"/>
        <v>0.59304347826657711</v>
      </c>
      <c r="AM10" s="30">
        <f t="shared" si="119"/>
        <v>2.8489491435714775E-2</v>
      </c>
      <c r="AN10" s="48">
        <f t="shared" si="120"/>
        <v>232305.30772832857</v>
      </c>
      <c r="AO10" s="75">
        <f t="shared" si="121"/>
        <v>96521.632925311278</v>
      </c>
      <c r="AP10" s="71" t="s">
        <v>8</v>
      </c>
      <c r="AQ10" s="27" t="s">
        <v>8</v>
      </c>
      <c r="AR10" s="32">
        <f t="shared" si="122"/>
        <v>0.6275356889614212</v>
      </c>
      <c r="AS10" s="30">
        <f t="shared" si="123"/>
        <v>3.21814318442597E-2</v>
      </c>
      <c r="AT10" s="48">
        <f t="shared" si="124"/>
        <v>279919.91871100088</v>
      </c>
      <c r="AU10" s="75">
        <f t="shared" si="125"/>
        <v>0</v>
      </c>
      <c r="AV10" s="71" t="s">
        <v>8</v>
      </c>
      <c r="AW10" s="27" t="s">
        <v>8</v>
      </c>
      <c r="AX10" s="32">
        <f t="shared" si="126"/>
        <v>0.6275356889614212</v>
      </c>
      <c r="AY10" s="30">
        <f t="shared" si="127"/>
        <v>3.21814318442597E-2</v>
      </c>
      <c r="AZ10" s="48">
        <f t="shared" si="128"/>
        <v>279919.91871100088</v>
      </c>
      <c r="BA10" s="75">
        <f t="shared" si="129"/>
        <v>0</v>
      </c>
      <c r="BB10" s="71" t="s">
        <v>8</v>
      </c>
      <c r="BC10" s="27" t="s">
        <v>8</v>
      </c>
      <c r="BD10" s="32">
        <f t="shared" si="130"/>
        <v>0.6275356889614212</v>
      </c>
      <c r="BE10" s="30">
        <f t="shared" si="131"/>
        <v>3.21814318442597E-2</v>
      </c>
      <c r="BF10" s="48">
        <f t="shared" si="132"/>
        <v>279919.91871100088</v>
      </c>
      <c r="BG10" s="75">
        <f t="shared" si="133"/>
        <v>0</v>
      </c>
      <c r="BH10" s="71" t="s">
        <v>8</v>
      </c>
      <c r="BI10" s="27" t="s">
        <v>8</v>
      </c>
      <c r="BJ10" s="32">
        <f t="shared" si="134"/>
        <v>0.6275356889614212</v>
      </c>
      <c r="BK10" s="30">
        <f t="shared" si="135"/>
        <v>3.21814318442597E-2</v>
      </c>
      <c r="BL10" s="48">
        <f t="shared" si="136"/>
        <v>279919.91871100088</v>
      </c>
      <c r="BM10" s="75">
        <f t="shared" si="137"/>
        <v>0</v>
      </c>
      <c r="BN10" s="71" t="s">
        <v>8</v>
      </c>
      <c r="BO10" s="27" t="s">
        <v>8</v>
      </c>
      <c r="BP10" s="32">
        <f t="shared" si="138"/>
        <v>0.6275356889614212</v>
      </c>
      <c r="BQ10" s="30">
        <f t="shared" si="139"/>
        <v>3.21814318442597E-2</v>
      </c>
      <c r="BR10" s="48">
        <f t="shared" si="140"/>
        <v>279919.91871100088</v>
      </c>
      <c r="BS10" s="115">
        <f t="shared" si="141"/>
        <v>0</v>
      </c>
      <c r="BT10" s="71" t="s">
        <v>8</v>
      </c>
      <c r="BU10" s="27" t="s">
        <v>8</v>
      </c>
      <c r="BV10" s="32">
        <f t="shared" si="142"/>
        <v>0.6275356889614212</v>
      </c>
      <c r="BW10" s="30">
        <f t="shared" si="143"/>
        <v>3.21814318442597E-2</v>
      </c>
      <c r="BX10" s="48">
        <f t="shared" si="144"/>
        <v>279919.91871100088</v>
      </c>
      <c r="BY10" s="115">
        <f t="shared" si="145"/>
        <v>0</v>
      </c>
      <c r="BZ10" s="71" t="s">
        <v>8</v>
      </c>
      <c r="CA10" s="27" t="s">
        <v>8</v>
      </c>
      <c r="CB10" s="32">
        <f t="shared" si="146"/>
        <v>0.6275356889614212</v>
      </c>
      <c r="CC10" s="30">
        <f t="shared" si="147"/>
        <v>3.21814318442597E-2</v>
      </c>
      <c r="CD10" s="48">
        <f t="shared" si="148"/>
        <v>279919.91871100088</v>
      </c>
      <c r="CE10" s="115">
        <f t="shared" si="149"/>
        <v>0</v>
      </c>
      <c r="CF10" s="71" t="s">
        <v>8</v>
      </c>
      <c r="CG10" s="27" t="s">
        <v>8</v>
      </c>
      <c r="CH10" s="32">
        <f t="shared" si="150"/>
        <v>0.6275356889614212</v>
      </c>
      <c r="CI10" s="30">
        <f t="shared" si="151"/>
        <v>3.21814318442597E-2</v>
      </c>
      <c r="CJ10" s="48">
        <f t="shared" si="152"/>
        <v>279919.91871100088</v>
      </c>
      <c r="CK10" s="115">
        <f t="shared" si="153"/>
        <v>0</v>
      </c>
      <c r="CL10" s="71" t="s">
        <v>8</v>
      </c>
      <c r="CM10" s="27" t="s">
        <v>8</v>
      </c>
      <c r="CN10" s="32">
        <f t="shared" si="154"/>
        <v>0.6275356889614212</v>
      </c>
      <c r="CO10" s="30">
        <f t="shared" si="155"/>
        <v>3.21814318442597E-2</v>
      </c>
      <c r="CP10" s="48">
        <f t="shared" si="156"/>
        <v>279919.91871100088</v>
      </c>
      <c r="CQ10" s="115">
        <f t="shared" si="157"/>
        <v>0</v>
      </c>
      <c r="CR10" s="71" t="s">
        <v>8</v>
      </c>
      <c r="CS10" s="27" t="s">
        <v>8</v>
      </c>
      <c r="CT10" s="32">
        <f t="shared" si="158"/>
        <v>0.6275356889614212</v>
      </c>
      <c r="CU10" s="30">
        <f t="shared" si="159"/>
        <v>3.21814318442597E-2</v>
      </c>
      <c r="CV10" s="48">
        <f t="shared" si="160"/>
        <v>279919.91871100088</v>
      </c>
      <c r="CW10" s="115">
        <f t="shared" si="161"/>
        <v>0</v>
      </c>
      <c r="CX10" s="71" t="s">
        <v>8</v>
      </c>
      <c r="CY10" s="27" t="s">
        <v>8</v>
      </c>
      <c r="CZ10" s="32">
        <f t="shared" si="162"/>
        <v>0.6275356889614212</v>
      </c>
      <c r="DA10" s="30">
        <f t="shared" si="163"/>
        <v>3.21814318442597E-2</v>
      </c>
      <c r="DB10" s="48">
        <f t="shared" si="164"/>
        <v>279919.91871100088</v>
      </c>
      <c r="DC10" s="115">
        <f t="shared" si="165"/>
        <v>0</v>
      </c>
      <c r="DD10" s="71" t="s">
        <v>8</v>
      </c>
      <c r="DE10" s="27" t="s">
        <v>8</v>
      </c>
      <c r="DF10" s="32">
        <f t="shared" si="166"/>
        <v>0.6275356889614212</v>
      </c>
      <c r="DG10" s="30">
        <f t="shared" si="167"/>
        <v>3.21814318442597E-2</v>
      </c>
      <c r="DH10" s="48">
        <f t="shared" si="168"/>
        <v>279919.91871100088</v>
      </c>
      <c r="DI10" s="115">
        <f t="shared" si="169"/>
        <v>0</v>
      </c>
      <c r="DJ10" s="71" t="s">
        <v>8</v>
      </c>
      <c r="DK10" s="27" t="s">
        <v>8</v>
      </c>
      <c r="DL10" s="32">
        <f t="shared" si="170"/>
        <v>0.6275356889614212</v>
      </c>
      <c r="DM10" s="30">
        <f t="shared" si="171"/>
        <v>3.21814318442597E-2</v>
      </c>
      <c r="DN10" s="48">
        <f t="shared" si="172"/>
        <v>279919.91871100088</v>
      </c>
      <c r="DO10" s="115">
        <f t="shared" si="173"/>
        <v>0</v>
      </c>
      <c r="DP10" s="71" t="s">
        <v>8</v>
      </c>
      <c r="DQ10" s="27" t="s">
        <v>8</v>
      </c>
      <c r="DR10" s="32">
        <f t="shared" si="174"/>
        <v>0.6275356889614212</v>
      </c>
      <c r="DS10" s="30">
        <f t="shared" si="175"/>
        <v>3.21814318442597E-2</v>
      </c>
      <c r="DT10" s="48">
        <f t="shared" si="176"/>
        <v>279919.91871100088</v>
      </c>
      <c r="DU10" s="115">
        <f t="shared" si="177"/>
        <v>0</v>
      </c>
      <c r="DV10" s="71" t="s">
        <v>8</v>
      </c>
      <c r="DW10" s="27" t="s">
        <v>8</v>
      </c>
      <c r="DX10" s="32">
        <f t="shared" si="178"/>
        <v>0.6275356889614212</v>
      </c>
      <c r="DY10" s="30">
        <f t="shared" si="179"/>
        <v>3.21814318442597E-2</v>
      </c>
      <c r="DZ10" s="31">
        <f t="shared" si="180"/>
        <v>279919.91871100088</v>
      </c>
      <c r="EA10" s="75">
        <f t="shared" si="181"/>
        <v>0</v>
      </c>
      <c r="EB10" s="71" t="s">
        <v>8</v>
      </c>
      <c r="EC10" s="27" t="s">
        <v>8</v>
      </c>
      <c r="ED10" s="32">
        <f t="shared" si="182"/>
        <v>0.6275356889614212</v>
      </c>
      <c r="EE10" s="30">
        <f t="shared" si="183"/>
        <v>3.21814318442597E-2</v>
      </c>
      <c r="EF10" s="31">
        <f t="shared" si="184"/>
        <v>279919.91871100088</v>
      </c>
      <c r="EG10" s="75">
        <f t="shared" si="185"/>
        <v>0</v>
      </c>
      <c r="EH10" s="71" t="s">
        <v>8</v>
      </c>
      <c r="EI10" s="27" t="s">
        <v>8</v>
      </c>
      <c r="EJ10" s="32">
        <f t="shared" si="186"/>
        <v>0.6275356889614212</v>
      </c>
      <c r="EK10" s="30">
        <f t="shared" si="187"/>
        <v>3.21814318442597E-2</v>
      </c>
      <c r="EL10" s="31">
        <f t="shared" si="188"/>
        <v>279919.91871100088</v>
      </c>
      <c r="EM10" s="75">
        <f t="shared" si="189"/>
        <v>0</v>
      </c>
      <c r="EN10" s="71" t="s">
        <v>8</v>
      </c>
      <c r="EO10" s="27" t="s">
        <v>8</v>
      </c>
      <c r="EP10" s="32">
        <f t="shared" si="190"/>
        <v>0.6275356889614212</v>
      </c>
      <c r="EQ10" s="30">
        <f t="shared" si="191"/>
        <v>3.21814318442597E-2</v>
      </c>
      <c r="ER10" s="31">
        <f t="shared" si="192"/>
        <v>279919.91871100088</v>
      </c>
      <c r="ES10" s="75">
        <f t="shared" si="193"/>
        <v>0</v>
      </c>
      <c r="ET10" s="71" t="s">
        <v>8</v>
      </c>
      <c r="EU10" s="27" t="s">
        <v>8</v>
      </c>
      <c r="EV10" s="32">
        <f t="shared" si="194"/>
        <v>0.6275356889614212</v>
      </c>
      <c r="EW10" s="30">
        <f t="shared" si="195"/>
        <v>3.21814318442597E-2</v>
      </c>
      <c r="EX10" s="31">
        <f t="shared" si="196"/>
        <v>279919.91871100088</v>
      </c>
      <c r="EY10" s="75">
        <f t="shared" si="197"/>
        <v>0</v>
      </c>
      <c r="EZ10" s="71" t="s">
        <v>8</v>
      </c>
      <c r="FA10" s="27" t="s">
        <v>8</v>
      </c>
      <c r="FB10" s="32">
        <f t="shared" si="198"/>
        <v>0.6275356889614212</v>
      </c>
      <c r="FC10" s="30">
        <f t="shared" si="199"/>
        <v>3.21814318442597E-2</v>
      </c>
      <c r="FD10" s="31">
        <f t="shared" si="200"/>
        <v>279919.91871100088</v>
      </c>
      <c r="FE10" s="75">
        <f t="shared" si="201"/>
        <v>0</v>
      </c>
      <c r="FF10" s="71" t="s">
        <v>8</v>
      </c>
      <c r="FG10" s="27" t="s">
        <v>8</v>
      </c>
      <c r="FH10" s="32">
        <f t="shared" si="202"/>
        <v>0.6275356889614212</v>
      </c>
      <c r="FI10" s="30">
        <f t="shared" si="203"/>
        <v>3.21814318442597E-2</v>
      </c>
      <c r="FJ10" s="31">
        <f t="shared" si="204"/>
        <v>279919.91871100088</v>
      </c>
      <c r="FK10" s="75">
        <f t="shared" si="205"/>
        <v>0</v>
      </c>
      <c r="FL10" s="71" t="s">
        <v>8</v>
      </c>
      <c r="FM10" s="27" t="s">
        <v>8</v>
      </c>
      <c r="FN10" s="32">
        <f t="shared" si="206"/>
        <v>0.6275356889614212</v>
      </c>
      <c r="FO10" s="30">
        <f t="shared" si="207"/>
        <v>3.21814318442597E-2</v>
      </c>
      <c r="FP10" s="31">
        <f t="shared" si="208"/>
        <v>279919.91871100088</v>
      </c>
      <c r="FQ10" s="75">
        <f t="shared" si="209"/>
        <v>0</v>
      </c>
      <c r="FR10" s="71" t="s">
        <v>8</v>
      </c>
      <c r="FS10" s="27" t="s">
        <v>8</v>
      </c>
      <c r="FT10" s="32">
        <f t="shared" si="210"/>
        <v>0.6275356889614212</v>
      </c>
      <c r="FU10" s="30">
        <f t="shared" si="211"/>
        <v>3.21814318442597E-2</v>
      </c>
      <c r="FV10" s="31">
        <f t="shared" si="212"/>
        <v>279919.91871100088</v>
      </c>
      <c r="FW10" s="75">
        <f t="shared" si="213"/>
        <v>0</v>
      </c>
      <c r="FX10" s="71" t="s">
        <v>8</v>
      </c>
      <c r="FY10" s="27" t="s">
        <v>8</v>
      </c>
      <c r="FZ10" s="32">
        <f t="shared" si="214"/>
        <v>0.6275356889614212</v>
      </c>
      <c r="GA10" s="30">
        <f t="shared" si="215"/>
        <v>3.21814318442597E-2</v>
      </c>
      <c r="GB10" s="31">
        <f t="shared" si="216"/>
        <v>279919.91871100088</v>
      </c>
      <c r="GC10" s="75">
        <f t="shared" si="217"/>
        <v>0</v>
      </c>
      <c r="GD10" s="71" t="s">
        <v>8</v>
      </c>
      <c r="GE10" s="27" t="s">
        <v>8</v>
      </c>
      <c r="GF10" s="32">
        <f t="shared" si="218"/>
        <v>0.6275356889614212</v>
      </c>
      <c r="GG10" s="30">
        <f t="shared" si="219"/>
        <v>3.21814318442597E-2</v>
      </c>
      <c r="GH10" s="31">
        <f t="shared" si="220"/>
        <v>279919.91871100088</v>
      </c>
      <c r="GI10" s="115">
        <f t="shared" si="221"/>
        <v>0</v>
      </c>
      <c r="GJ10" s="139">
        <f t="shared" ref="GJ10:GJ19" si="227">Q10+W10+AC10+AI10+AO10+AU10+BA10+BG10+BM10+BS10+BY10+CE10+CK10+CQ10+CW10+DC10+DI10+DO10+DU10+EA10+EG10+EM10+ES10+EY10+FE10+FK10+FQ10+FW10+GC10+GI10</f>
        <v>1372827.1712109637</v>
      </c>
      <c r="GK10" s="254">
        <f t="shared" si="222"/>
        <v>1447314.9562324705</v>
      </c>
      <c r="GL10" s="196">
        <f t="shared" ref="GL10:GL19" si="228">K10+GK10/($H$20/$G$20)/G10/I10</f>
        <v>0.6275356889614212</v>
      </c>
      <c r="GM10" s="237">
        <v>1433009.32</v>
      </c>
      <c r="GN10" s="244"/>
    </row>
    <row r="11" spans="1:196" s="22" customFormat="1" ht="31.5" x14ac:dyDescent="0.25">
      <c r="A11" s="110" t="s">
        <v>175</v>
      </c>
      <c r="B11" s="130" t="s">
        <v>8</v>
      </c>
      <c r="C11" s="130" t="s">
        <v>8</v>
      </c>
      <c r="D11" s="130" t="s">
        <v>8</v>
      </c>
      <c r="E11" s="130" t="s">
        <v>8</v>
      </c>
      <c r="F11" s="130" t="s">
        <v>8</v>
      </c>
      <c r="G11" s="95">
        <f>'Исходные данные'!C13</f>
        <v>345</v>
      </c>
      <c r="H11" s="28">
        <f>'Исходные данные'!D13</f>
        <v>247664</v>
      </c>
      <c r="I11" s="29">
        <f>'Расчет КРП'!G9</f>
        <v>7.1603011701930406</v>
      </c>
      <c r="J11" s="102" t="s">
        <v>8</v>
      </c>
      <c r="K11" s="106">
        <f t="shared" si="104"/>
        <v>0.11594739157949184</v>
      </c>
      <c r="L11" s="72">
        <f t="shared" si="223"/>
        <v>56604.15381590266</v>
      </c>
      <c r="M11" s="68">
        <f t="shared" si="224"/>
        <v>0.14244742383092221</v>
      </c>
      <c r="N11" s="27" t="s">
        <v>8</v>
      </c>
      <c r="O11" s="30">
        <f t="shared" si="225"/>
        <v>5.9495184826215519E-2</v>
      </c>
      <c r="P11" s="31">
        <f t="shared" si="105"/>
        <v>151195.46978852231</v>
      </c>
      <c r="Q11" s="75">
        <f t="shared" si="226"/>
        <v>151195.46978852231</v>
      </c>
      <c r="R11" s="134" t="s">
        <v>8</v>
      </c>
      <c r="S11" s="27" t="s">
        <v>8</v>
      </c>
      <c r="T11" s="32">
        <f t="shared" si="106"/>
        <v>0.21323171359695614</v>
      </c>
      <c r="U11" s="30">
        <f t="shared" si="107"/>
        <v>9.558285501047592E-2</v>
      </c>
      <c r="V11" s="48">
        <f t="shared" si="108"/>
        <v>318587.2668803205</v>
      </c>
      <c r="W11" s="75">
        <f t="shared" si="109"/>
        <v>318587.2668803205</v>
      </c>
      <c r="X11" s="71" t="s">
        <v>8</v>
      </c>
      <c r="Y11" s="27" t="s">
        <v>8</v>
      </c>
      <c r="Z11" s="32">
        <f t="shared" si="110"/>
        <v>0.36238283198805293</v>
      </c>
      <c r="AA11" s="30">
        <f t="shared" si="111"/>
        <v>5.8807275752649601E-2</v>
      </c>
      <c r="AB11" s="48">
        <f t="shared" si="112"/>
        <v>250440.76041605015</v>
      </c>
      <c r="AC11" s="75">
        <f t="shared" si="113"/>
        <v>250440.76041605015</v>
      </c>
      <c r="AD11" s="71" t="s">
        <v>8</v>
      </c>
      <c r="AE11" s="27" t="s">
        <v>8</v>
      </c>
      <c r="AF11" s="32">
        <f t="shared" si="114"/>
        <v>0.47963020308528725</v>
      </c>
      <c r="AG11" s="30">
        <f t="shared" si="115"/>
        <v>4.7799449414932971E-2</v>
      </c>
      <c r="AH11" s="48">
        <f t="shared" si="116"/>
        <v>243974.5387757959</v>
      </c>
      <c r="AI11" s="75">
        <f t="shared" si="117"/>
        <v>243974.5387757959</v>
      </c>
      <c r="AJ11" s="71" t="s">
        <v>8</v>
      </c>
      <c r="AK11" s="27" t="s">
        <v>8</v>
      </c>
      <c r="AL11" s="32">
        <f t="shared" si="118"/>
        <v>0.59385032140229377</v>
      </c>
      <c r="AM11" s="30">
        <f t="shared" si="119"/>
        <v>2.7682648299998114E-2</v>
      </c>
      <c r="AN11" s="48">
        <f t="shared" si="120"/>
        <v>172298.04148300865</v>
      </c>
      <c r="AO11" s="75">
        <f t="shared" si="121"/>
        <v>71588.92957031219</v>
      </c>
      <c r="AP11" s="71" t="s">
        <v>8</v>
      </c>
      <c r="AQ11" s="27" t="s">
        <v>8</v>
      </c>
      <c r="AR11" s="32">
        <f t="shared" si="122"/>
        <v>0.62736568758246392</v>
      </c>
      <c r="AS11" s="30">
        <f t="shared" si="123"/>
        <v>3.2351433223216985E-2</v>
      </c>
      <c r="AT11" s="48">
        <f t="shared" si="124"/>
        <v>214793.05512448895</v>
      </c>
      <c r="AU11" s="75">
        <f t="shared" si="125"/>
        <v>0</v>
      </c>
      <c r="AV11" s="71" t="s">
        <v>8</v>
      </c>
      <c r="AW11" s="27" t="s">
        <v>8</v>
      </c>
      <c r="AX11" s="32">
        <f t="shared" si="126"/>
        <v>0.62736568758246392</v>
      </c>
      <c r="AY11" s="30">
        <f t="shared" si="127"/>
        <v>3.2351433223216985E-2</v>
      </c>
      <c r="AZ11" s="48">
        <f t="shared" si="128"/>
        <v>214793.05512448895</v>
      </c>
      <c r="BA11" s="75">
        <f t="shared" si="129"/>
        <v>0</v>
      </c>
      <c r="BB11" s="71" t="s">
        <v>8</v>
      </c>
      <c r="BC11" s="27" t="s">
        <v>8</v>
      </c>
      <c r="BD11" s="32">
        <f t="shared" si="130"/>
        <v>0.62736568758246392</v>
      </c>
      <c r="BE11" s="30">
        <f t="shared" si="131"/>
        <v>3.2351433223216985E-2</v>
      </c>
      <c r="BF11" s="48">
        <f t="shared" si="132"/>
        <v>214793.05512448895</v>
      </c>
      <c r="BG11" s="75">
        <f t="shared" si="133"/>
        <v>0</v>
      </c>
      <c r="BH11" s="71" t="s">
        <v>8</v>
      </c>
      <c r="BI11" s="27" t="s">
        <v>8</v>
      </c>
      <c r="BJ11" s="32">
        <f t="shared" si="134"/>
        <v>0.62736568758246392</v>
      </c>
      <c r="BK11" s="30">
        <f t="shared" si="135"/>
        <v>3.2351433223216985E-2</v>
      </c>
      <c r="BL11" s="48">
        <f t="shared" si="136"/>
        <v>214793.05512448895</v>
      </c>
      <c r="BM11" s="75">
        <f t="shared" si="137"/>
        <v>0</v>
      </c>
      <c r="BN11" s="71" t="s">
        <v>8</v>
      </c>
      <c r="BO11" s="27" t="s">
        <v>8</v>
      </c>
      <c r="BP11" s="32">
        <f t="shared" si="138"/>
        <v>0.62736568758246392</v>
      </c>
      <c r="BQ11" s="30">
        <f t="shared" si="139"/>
        <v>3.2351433223216985E-2</v>
      </c>
      <c r="BR11" s="48">
        <f t="shared" si="140"/>
        <v>214793.05512448895</v>
      </c>
      <c r="BS11" s="115">
        <f t="shared" si="141"/>
        <v>0</v>
      </c>
      <c r="BT11" s="71" t="s">
        <v>8</v>
      </c>
      <c r="BU11" s="27" t="s">
        <v>8</v>
      </c>
      <c r="BV11" s="32">
        <f t="shared" si="142"/>
        <v>0.62736568758246392</v>
      </c>
      <c r="BW11" s="30">
        <f t="shared" si="143"/>
        <v>3.2351433223216985E-2</v>
      </c>
      <c r="BX11" s="48">
        <f t="shared" si="144"/>
        <v>214793.05512448895</v>
      </c>
      <c r="BY11" s="115">
        <f t="shared" si="145"/>
        <v>0</v>
      </c>
      <c r="BZ11" s="71" t="s">
        <v>8</v>
      </c>
      <c r="CA11" s="27" t="s">
        <v>8</v>
      </c>
      <c r="CB11" s="32">
        <f t="shared" si="146"/>
        <v>0.62736568758246392</v>
      </c>
      <c r="CC11" s="30">
        <f t="shared" si="147"/>
        <v>3.2351433223216985E-2</v>
      </c>
      <c r="CD11" s="48">
        <f t="shared" si="148"/>
        <v>214793.05512448895</v>
      </c>
      <c r="CE11" s="115">
        <f t="shared" si="149"/>
        <v>0</v>
      </c>
      <c r="CF11" s="71" t="s">
        <v>8</v>
      </c>
      <c r="CG11" s="27" t="s">
        <v>8</v>
      </c>
      <c r="CH11" s="32">
        <f t="shared" si="150"/>
        <v>0.62736568758246392</v>
      </c>
      <c r="CI11" s="30">
        <f t="shared" si="151"/>
        <v>3.2351433223216985E-2</v>
      </c>
      <c r="CJ11" s="48">
        <f t="shared" si="152"/>
        <v>214793.05512448895</v>
      </c>
      <c r="CK11" s="115">
        <f t="shared" si="153"/>
        <v>0</v>
      </c>
      <c r="CL11" s="71" t="s">
        <v>8</v>
      </c>
      <c r="CM11" s="27" t="s">
        <v>8</v>
      </c>
      <c r="CN11" s="32">
        <f t="shared" si="154"/>
        <v>0.62736568758246392</v>
      </c>
      <c r="CO11" s="30">
        <f t="shared" si="155"/>
        <v>3.2351433223216985E-2</v>
      </c>
      <c r="CP11" s="48">
        <f t="shared" si="156"/>
        <v>214793.05512448895</v>
      </c>
      <c r="CQ11" s="115">
        <f t="shared" si="157"/>
        <v>0</v>
      </c>
      <c r="CR11" s="71" t="s">
        <v>8</v>
      </c>
      <c r="CS11" s="27" t="s">
        <v>8</v>
      </c>
      <c r="CT11" s="32">
        <f t="shared" si="158"/>
        <v>0.62736568758246392</v>
      </c>
      <c r="CU11" s="30">
        <f t="shared" si="159"/>
        <v>3.2351433223216985E-2</v>
      </c>
      <c r="CV11" s="48">
        <f t="shared" si="160"/>
        <v>214793.05512448895</v>
      </c>
      <c r="CW11" s="115">
        <f t="shared" si="161"/>
        <v>0</v>
      </c>
      <c r="CX11" s="71" t="s">
        <v>8</v>
      </c>
      <c r="CY11" s="27" t="s">
        <v>8</v>
      </c>
      <c r="CZ11" s="32">
        <f t="shared" si="162"/>
        <v>0.62736568758246392</v>
      </c>
      <c r="DA11" s="30">
        <f t="shared" si="163"/>
        <v>3.2351433223216985E-2</v>
      </c>
      <c r="DB11" s="48">
        <f t="shared" si="164"/>
        <v>214793.05512448895</v>
      </c>
      <c r="DC11" s="115">
        <f t="shared" si="165"/>
        <v>0</v>
      </c>
      <c r="DD11" s="71" t="s">
        <v>8</v>
      </c>
      <c r="DE11" s="27" t="s">
        <v>8</v>
      </c>
      <c r="DF11" s="32">
        <f t="shared" si="166"/>
        <v>0.62736568758246392</v>
      </c>
      <c r="DG11" s="30">
        <f t="shared" si="167"/>
        <v>3.2351433223216985E-2</v>
      </c>
      <c r="DH11" s="48">
        <f t="shared" si="168"/>
        <v>214793.05512448895</v>
      </c>
      <c r="DI11" s="115">
        <f t="shared" si="169"/>
        <v>0</v>
      </c>
      <c r="DJ11" s="71" t="s">
        <v>8</v>
      </c>
      <c r="DK11" s="27" t="s">
        <v>8</v>
      </c>
      <c r="DL11" s="32">
        <f t="shared" si="170"/>
        <v>0.62736568758246392</v>
      </c>
      <c r="DM11" s="30">
        <f t="shared" si="171"/>
        <v>3.2351433223216985E-2</v>
      </c>
      <c r="DN11" s="48">
        <f t="shared" si="172"/>
        <v>214793.05512448895</v>
      </c>
      <c r="DO11" s="115">
        <f t="shared" si="173"/>
        <v>0</v>
      </c>
      <c r="DP11" s="71" t="s">
        <v>8</v>
      </c>
      <c r="DQ11" s="27" t="s">
        <v>8</v>
      </c>
      <c r="DR11" s="32">
        <f t="shared" si="174"/>
        <v>0.62736568758246392</v>
      </c>
      <c r="DS11" s="30">
        <f t="shared" si="175"/>
        <v>3.2351433223216985E-2</v>
      </c>
      <c r="DT11" s="48">
        <f t="shared" si="176"/>
        <v>214793.05512448895</v>
      </c>
      <c r="DU11" s="115">
        <f t="shared" si="177"/>
        <v>0</v>
      </c>
      <c r="DV11" s="71" t="s">
        <v>8</v>
      </c>
      <c r="DW11" s="27" t="s">
        <v>8</v>
      </c>
      <c r="DX11" s="32">
        <f t="shared" si="178"/>
        <v>0.62736568758246392</v>
      </c>
      <c r="DY11" s="30">
        <f t="shared" si="179"/>
        <v>3.2351433223216985E-2</v>
      </c>
      <c r="DZ11" s="31">
        <f t="shared" si="180"/>
        <v>214793.05512448895</v>
      </c>
      <c r="EA11" s="75">
        <f t="shared" si="181"/>
        <v>0</v>
      </c>
      <c r="EB11" s="71" t="s">
        <v>8</v>
      </c>
      <c r="EC11" s="27" t="s">
        <v>8</v>
      </c>
      <c r="ED11" s="32">
        <f t="shared" si="182"/>
        <v>0.62736568758246392</v>
      </c>
      <c r="EE11" s="30">
        <f t="shared" si="183"/>
        <v>3.2351433223216985E-2</v>
      </c>
      <c r="EF11" s="31">
        <f t="shared" si="184"/>
        <v>214793.05512448895</v>
      </c>
      <c r="EG11" s="75">
        <f t="shared" si="185"/>
        <v>0</v>
      </c>
      <c r="EH11" s="71" t="s">
        <v>8</v>
      </c>
      <c r="EI11" s="27" t="s">
        <v>8</v>
      </c>
      <c r="EJ11" s="32">
        <f t="shared" si="186"/>
        <v>0.62736568758246392</v>
      </c>
      <c r="EK11" s="30">
        <f t="shared" si="187"/>
        <v>3.2351433223216985E-2</v>
      </c>
      <c r="EL11" s="31">
        <f t="shared" si="188"/>
        <v>214793.05512448895</v>
      </c>
      <c r="EM11" s="75">
        <f t="shared" si="189"/>
        <v>0</v>
      </c>
      <c r="EN11" s="71" t="s">
        <v>8</v>
      </c>
      <c r="EO11" s="27" t="s">
        <v>8</v>
      </c>
      <c r="EP11" s="32">
        <f t="shared" si="190"/>
        <v>0.62736568758246392</v>
      </c>
      <c r="EQ11" s="30">
        <f t="shared" si="191"/>
        <v>3.2351433223216985E-2</v>
      </c>
      <c r="ER11" s="31">
        <f t="shared" si="192"/>
        <v>214793.05512448895</v>
      </c>
      <c r="ES11" s="75">
        <f t="shared" si="193"/>
        <v>0</v>
      </c>
      <c r="ET11" s="71" t="s">
        <v>8</v>
      </c>
      <c r="EU11" s="27" t="s">
        <v>8</v>
      </c>
      <c r="EV11" s="32">
        <f t="shared" si="194"/>
        <v>0.62736568758246392</v>
      </c>
      <c r="EW11" s="30">
        <f t="shared" si="195"/>
        <v>3.2351433223216985E-2</v>
      </c>
      <c r="EX11" s="31">
        <f t="shared" si="196"/>
        <v>214793.05512448895</v>
      </c>
      <c r="EY11" s="75">
        <f t="shared" si="197"/>
        <v>0</v>
      </c>
      <c r="EZ11" s="71" t="s">
        <v>8</v>
      </c>
      <c r="FA11" s="27" t="s">
        <v>8</v>
      </c>
      <c r="FB11" s="32">
        <f t="shared" si="198"/>
        <v>0.62736568758246392</v>
      </c>
      <c r="FC11" s="30">
        <f t="shared" si="199"/>
        <v>3.2351433223216985E-2</v>
      </c>
      <c r="FD11" s="31">
        <f t="shared" si="200"/>
        <v>214793.05512448895</v>
      </c>
      <c r="FE11" s="75">
        <f t="shared" si="201"/>
        <v>0</v>
      </c>
      <c r="FF11" s="71" t="s">
        <v>8</v>
      </c>
      <c r="FG11" s="27" t="s">
        <v>8</v>
      </c>
      <c r="FH11" s="32">
        <f t="shared" si="202"/>
        <v>0.62736568758246392</v>
      </c>
      <c r="FI11" s="30">
        <f t="shared" si="203"/>
        <v>3.2351433223216985E-2</v>
      </c>
      <c r="FJ11" s="31">
        <f t="shared" si="204"/>
        <v>214793.05512448895</v>
      </c>
      <c r="FK11" s="75">
        <f t="shared" si="205"/>
        <v>0</v>
      </c>
      <c r="FL11" s="71" t="s">
        <v>8</v>
      </c>
      <c r="FM11" s="27" t="s">
        <v>8</v>
      </c>
      <c r="FN11" s="32">
        <f t="shared" si="206"/>
        <v>0.62736568758246392</v>
      </c>
      <c r="FO11" s="30">
        <f t="shared" si="207"/>
        <v>3.2351433223216985E-2</v>
      </c>
      <c r="FP11" s="31">
        <f t="shared" si="208"/>
        <v>214793.05512448895</v>
      </c>
      <c r="FQ11" s="75">
        <f t="shared" si="209"/>
        <v>0</v>
      </c>
      <c r="FR11" s="71" t="s">
        <v>8</v>
      </c>
      <c r="FS11" s="27" t="s">
        <v>8</v>
      </c>
      <c r="FT11" s="32">
        <f t="shared" si="210"/>
        <v>0.62736568758246392</v>
      </c>
      <c r="FU11" s="30">
        <f t="shared" si="211"/>
        <v>3.2351433223216985E-2</v>
      </c>
      <c r="FV11" s="31">
        <f t="shared" si="212"/>
        <v>214793.05512448895</v>
      </c>
      <c r="FW11" s="75">
        <f t="shared" si="213"/>
        <v>0</v>
      </c>
      <c r="FX11" s="71" t="s">
        <v>8</v>
      </c>
      <c r="FY11" s="27" t="s">
        <v>8</v>
      </c>
      <c r="FZ11" s="32">
        <f t="shared" si="214"/>
        <v>0.62736568758246392</v>
      </c>
      <c r="GA11" s="30">
        <f t="shared" si="215"/>
        <v>3.2351433223216985E-2</v>
      </c>
      <c r="GB11" s="31">
        <f t="shared" si="216"/>
        <v>214793.05512448895</v>
      </c>
      <c r="GC11" s="75">
        <f t="shared" si="217"/>
        <v>0</v>
      </c>
      <c r="GD11" s="71" t="s">
        <v>8</v>
      </c>
      <c r="GE11" s="27" t="s">
        <v>8</v>
      </c>
      <c r="GF11" s="32">
        <f t="shared" si="218"/>
        <v>0.62736568758246392</v>
      </c>
      <c r="GG11" s="30">
        <f t="shared" si="219"/>
        <v>3.2351433223216985E-2</v>
      </c>
      <c r="GH11" s="31">
        <f t="shared" si="220"/>
        <v>214793.05512448895</v>
      </c>
      <c r="GI11" s="115">
        <f t="shared" si="221"/>
        <v>0</v>
      </c>
      <c r="GJ11" s="139">
        <f t="shared" si="227"/>
        <v>1035786.965431001</v>
      </c>
      <c r="GK11" s="254">
        <f t="shared" si="222"/>
        <v>1092391.1192469038</v>
      </c>
      <c r="GL11" s="196">
        <f t="shared" si="228"/>
        <v>0.62736568758246403</v>
      </c>
      <c r="GM11" s="237">
        <v>1080571.46</v>
      </c>
      <c r="GN11" s="244"/>
    </row>
    <row r="12" spans="1:196" s="22" customFormat="1" x14ac:dyDescent="0.25">
      <c r="A12" s="110" t="s">
        <v>176</v>
      </c>
      <c r="B12" s="130" t="s">
        <v>8</v>
      </c>
      <c r="C12" s="130" t="s">
        <v>8</v>
      </c>
      <c r="D12" s="130" t="s">
        <v>8</v>
      </c>
      <c r="E12" s="130" t="s">
        <v>8</v>
      </c>
      <c r="F12" s="130" t="s">
        <v>8</v>
      </c>
      <c r="G12" s="95">
        <f>'Исходные данные'!C14</f>
        <v>99</v>
      </c>
      <c r="H12" s="28">
        <f>'Исходные данные'!D14</f>
        <v>73864</v>
      </c>
      <c r="I12" s="29">
        <f>'Расчет КРП'!G10</f>
        <v>18.157114801623248</v>
      </c>
      <c r="J12" s="102" t="s">
        <v>8</v>
      </c>
      <c r="K12" s="106">
        <f t="shared" si="104"/>
        <v>4.752249932429433E-2</v>
      </c>
      <c r="L12" s="72">
        <f t="shared" si="223"/>
        <v>16242.931094998155</v>
      </c>
      <c r="M12" s="68">
        <f t="shared" si="224"/>
        <v>5.7972849724849528E-2</v>
      </c>
      <c r="N12" s="27" t="s">
        <v>8</v>
      </c>
      <c r="O12" s="30">
        <f t="shared" si="225"/>
        <v>0.14396975893228819</v>
      </c>
      <c r="P12" s="31">
        <f>IF(O12&gt;0,G12*I12*(($H$20+$L$20)/$G$20)*O12,0)</f>
        <v>266231.7749605421</v>
      </c>
      <c r="Q12" s="75">
        <f t="shared" si="226"/>
        <v>266231.7749605421</v>
      </c>
      <c r="R12" s="134" t="s">
        <v>8</v>
      </c>
      <c r="S12" s="27" t="s">
        <v>8</v>
      </c>
      <c r="T12" s="32">
        <f t="shared" si="106"/>
        <v>0.22926061298798231</v>
      </c>
      <c r="U12" s="30">
        <f t="shared" si="107"/>
        <v>7.9553955619449751E-2</v>
      </c>
      <c r="V12" s="48">
        <f t="shared" si="108"/>
        <v>192948.69419326281</v>
      </c>
      <c r="W12" s="75">
        <f t="shared" si="109"/>
        <v>192948.69419326281</v>
      </c>
      <c r="X12" s="71" t="s">
        <v>8</v>
      </c>
      <c r="Y12" s="27" t="s">
        <v>8</v>
      </c>
      <c r="Z12" s="32">
        <f t="shared" si="110"/>
        <v>0.35339962779117212</v>
      </c>
      <c r="AA12" s="30">
        <f t="shared" si="111"/>
        <v>6.7790479949530413E-2</v>
      </c>
      <c r="AB12" s="48">
        <f t="shared" si="112"/>
        <v>210074.97023866954</v>
      </c>
      <c r="AC12" s="75">
        <f t="shared" si="113"/>
        <v>210074.97023866954</v>
      </c>
      <c r="AD12" s="71" t="s">
        <v>8</v>
      </c>
      <c r="AE12" s="27" t="s">
        <v>8</v>
      </c>
      <c r="AF12" s="32">
        <f t="shared" si="114"/>
        <v>0.48855731802211444</v>
      </c>
      <c r="AG12" s="30">
        <f t="shared" si="115"/>
        <v>3.8872334478105786E-2</v>
      </c>
      <c r="AH12" s="48">
        <f t="shared" si="116"/>
        <v>144375.62719153386</v>
      </c>
      <c r="AI12" s="75">
        <f t="shared" si="117"/>
        <v>144375.62719153386</v>
      </c>
      <c r="AJ12" s="71" t="s">
        <v>8</v>
      </c>
      <c r="AK12" s="27" t="s">
        <v>8</v>
      </c>
      <c r="AL12" s="32">
        <f t="shared" si="118"/>
        <v>0.5814454725446726</v>
      </c>
      <c r="AM12" s="30">
        <f t="shared" si="119"/>
        <v>4.0087497157619278E-2</v>
      </c>
      <c r="AN12" s="48">
        <f t="shared" si="120"/>
        <v>181557.12510583075</v>
      </c>
      <c r="AO12" s="75">
        <f t="shared" si="121"/>
        <v>75436.030092492016</v>
      </c>
      <c r="AP12" s="71" t="s">
        <v>8</v>
      </c>
      <c r="AQ12" s="27" t="s">
        <v>8</v>
      </c>
      <c r="AR12" s="32">
        <f t="shared" si="122"/>
        <v>0.62997938201475145</v>
      </c>
      <c r="AS12" s="30">
        <f t="shared" si="123"/>
        <v>2.9737738790929447E-2</v>
      </c>
      <c r="AT12" s="48">
        <f t="shared" si="124"/>
        <v>143670.0694401834</v>
      </c>
      <c r="AU12" s="75">
        <f t="shared" si="125"/>
        <v>0</v>
      </c>
      <c r="AV12" s="71" t="s">
        <v>8</v>
      </c>
      <c r="AW12" s="27" t="s">
        <v>8</v>
      </c>
      <c r="AX12" s="32">
        <f t="shared" si="126"/>
        <v>0.62997938201475145</v>
      </c>
      <c r="AY12" s="30">
        <f t="shared" si="127"/>
        <v>2.9737738790929447E-2</v>
      </c>
      <c r="AZ12" s="48">
        <f t="shared" si="128"/>
        <v>143670.0694401834</v>
      </c>
      <c r="BA12" s="75">
        <f t="shared" si="129"/>
        <v>0</v>
      </c>
      <c r="BB12" s="71" t="s">
        <v>8</v>
      </c>
      <c r="BC12" s="27" t="s">
        <v>8</v>
      </c>
      <c r="BD12" s="32">
        <f t="shared" si="130"/>
        <v>0.62997938201475145</v>
      </c>
      <c r="BE12" s="30">
        <f t="shared" si="131"/>
        <v>2.9737738790929447E-2</v>
      </c>
      <c r="BF12" s="48">
        <f t="shared" si="132"/>
        <v>143670.0694401834</v>
      </c>
      <c r="BG12" s="75">
        <f t="shared" si="133"/>
        <v>0</v>
      </c>
      <c r="BH12" s="71" t="s">
        <v>8</v>
      </c>
      <c r="BI12" s="27" t="s">
        <v>8</v>
      </c>
      <c r="BJ12" s="32">
        <f t="shared" si="134"/>
        <v>0.62997938201475145</v>
      </c>
      <c r="BK12" s="30">
        <f t="shared" si="135"/>
        <v>2.9737738790929447E-2</v>
      </c>
      <c r="BL12" s="48">
        <f t="shared" si="136"/>
        <v>143670.0694401834</v>
      </c>
      <c r="BM12" s="75">
        <f t="shared" si="137"/>
        <v>0</v>
      </c>
      <c r="BN12" s="71" t="s">
        <v>8</v>
      </c>
      <c r="BO12" s="27" t="s">
        <v>8</v>
      </c>
      <c r="BP12" s="32">
        <f t="shared" si="138"/>
        <v>0.62997938201475145</v>
      </c>
      <c r="BQ12" s="30">
        <f t="shared" si="139"/>
        <v>2.9737738790929447E-2</v>
      </c>
      <c r="BR12" s="48">
        <f t="shared" si="140"/>
        <v>143670.0694401834</v>
      </c>
      <c r="BS12" s="115">
        <f t="shared" si="141"/>
        <v>0</v>
      </c>
      <c r="BT12" s="71" t="s">
        <v>8</v>
      </c>
      <c r="BU12" s="27" t="s">
        <v>8</v>
      </c>
      <c r="BV12" s="32">
        <f t="shared" si="142"/>
        <v>0.62997938201475145</v>
      </c>
      <c r="BW12" s="30">
        <f t="shared" si="143"/>
        <v>2.9737738790929447E-2</v>
      </c>
      <c r="BX12" s="48">
        <f t="shared" si="144"/>
        <v>143670.0694401834</v>
      </c>
      <c r="BY12" s="115">
        <f t="shared" si="145"/>
        <v>0</v>
      </c>
      <c r="BZ12" s="71" t="s">
        <v>8</v>
      </c>
      <c r="CA12" s="27" t="s">
        <v>8</v>
      </c>
      <c r="CB12" s="32">
        <f t="shared" si="146"/>
        <v>0.62997938201475145</v>
      </c>
      <c r="CC12" s="30">
        <f t="shared" si="147"/>
        <v>2.9737738790929447E-2</v>
      </c>
      <c r="CD12" s="48">
        <f t="shared" si="148"/>
        <v>143670.0694401834</v>
      </c>
      <c r="CE12" s="115">
        <f t="shared" si="149"/>
        <v>0</v>
      </c>
      <c r="CF12" s="71" t="s">
        <v>8</v>
      </c>
      <c r="CG12" s="27" t="s">
        <v>8</v>
      </c>
      <c r="CH12" s="32">
        <f t="shared" si="150"/>
        <v>0.62997938201475145</v>
      </c>
      <c r="CI12" s="30">
        <f t="shared" si="151"/>
        <v>2.9737738790929447E-2</v>
      </c>
      <c r="CJ12" s="48">
        <f t="shared" si="152"/>
        <v>143670.0694401834</v>
      </c>
      <c r="CK12" s="115">
        <f t="shared" si="153"/>
        <v>0</v>
      </c>
      <c r="CL12" s="71" t="s">
        <v>8</v>
      </c>
      <c r="CM12" s="27" t="s">
        <v>8</v>
      </c>
      <c r="CN12" s="32">
        <f t="shared" si="154"/>
        <v>0.62997938201475145</v>
      </c>
      <c r="CO12" s="30">
        <f t="shared" si="155"/>
        <v>2.9737738790929447E-2</v>
      </c>
      <c r="CP12" s="48">
        <f t="shared" si="156"/>
        <v>143670.0694401834</v>
      </c>
      <c r="CQ12" s="115">
        <f t="shared" si="157"/>
        <v>0</v>
      </c>
      <c r="CR12" s="71" t="s">
        <v>8</v>
      </c>
      <c r="CS12" s="27" t="s">
        <v>8</v>
      </c>
      <c r="CT12" s="32">
        <f t="shared" si="158"/>
        <v>0.62997938201475145</v>
      </c>
      <c r="CU12" s="30">
        <f t="shared" si="159"/>
        <v>2.9737738790929447E-2</v>
      </c>
      <c r="CV12" s="48">
        <f t="shared" si="160"/>
        <v>143670.0694401834</v>
      </c>
      <c r="CW12" s="115">
        <f t="shared" si="161"/>
        <v>0</v>
      </c>
      <c r="CX12" s="71" t="s">
        <v>8</v>
      </c>
      <c r="CY12" s="27" t="s">
        <v>8</v>
      </c>
      <c r="CZ12" s="32">
        <f t="shared" si="162"/>
        <v>0.62997938201475145</v>
      </c>
      <c r="DA12" s="30">
        <f t="shared" si="163"/>
        <v>2.9737738790929447E-2</v>
      </c>
      <c r="DB12" s="48">
        <f t="shared" si="164"/>
        <v>143670.0694401834</v>
      </c>
      <c r="DC12" s="115">
        <f t="shared" si="165"/>
        <v>0</v>
      </c>
      <c r="DD12" s="71" t="s">
        <v>8</v>
      </c>
      <c r="DE12" s="27" t="s">
        <v>8</v>
      </c>
      <c r="DF12" s="32">
        <f t="shared" si="166"/>
        <v>0.62997938201475145</v>
      </c>
      <c r="DG12" s="30">
        <f t="shared" si="167"/>
        <v>2.9737738790929447E-2</v>
      </c>
      <c r="DH12" s="48">
        <f t="shared" si="168"/>
        <v>143670.0694401834</v>
      </c>
      <c r="DI12" s="115">
        <f t="shared" si="169"/>
        <v>0</v>
      </c>
      <c r="DJ12" s="71" t="s">
        <v>8</v>
      </c>
      <c r="DK12" s="27" t="s">
        <v>8</v>
      </c>
      <c r="DL12" s="32">
        <f t="shared" si="170"/>
        <v>0.62997938201475145</v>
      </c>
      <c r="DM12" s="30">
        <f t="shared" si="171"/>
        <v>2.9737738790929447E-2</v>
      </c>
      <c r="DN12" s="48">
        <f t="shared" si="172"/>
        <v>143670.0694401834</v>
      </c>
      <c r="DO12" s="115">
        <f t="shared" si="173"/>
        <v>0</v>
      </c>
      <c r="DP12" s="71" t="s">
        <v>8</v>
      </c>
      <c r="DQ12" s="27" t="s">
        <v>8</v>
      </c>
      <c r="DR12" s="32">
        <f t="shared" si="174"/>
        <v>0.62997938201475145</v>
      </c>
      <c r="DS12" s="30">
        <f t="shared" si="175"/>
        <v>2.9737738790929447E-2</v>
      </c>
      <c r="DT12" s="48">
        <f t="shared" si="176"/>
        <v>143670.0694401834</v>
      </c>
      <c r="DU12" s="115">
        <f t="shared" si="177"/>
        <v>0</v>
      </c>
      <c r="DV12" s="71" t="s">
        <v>8</v>
      </c>
      <c r="DW12" s="27" t="s">
        <v>8</v>
      </c>
      <c r="DX12" s="32">
        <f t="shared" si="178"/>
        <v>0.62997938201475145</v>
      </c>
      <c r="DY12" s="30">
        <f t="shared" si="179"/>
        <v>2.9737738790929447E-2</v>
      </c>
      <c r="DZ12" s="31">
        <f t="shared" si="180"/>
        <v>143670.0694401834</v>
      </c>
      <c r="EA12" s="75">
        <f t="shared" si="181"/>
        <v>0</v>
      </c>
      <c r="EB12" s="71" t="s">
        <v>8</v>
      </c>
      <c r="EC12" s="27" t="s">
        <v>8</v>
      </c>
      <c r="ED12" s="32">
        <f t="shared" si="182"/>
        <v>0.62997938201475145</v>
      </c>
      <c r="EE12" s="30">
        <f t="shared" si="183"/>
        <v>2.9737738790929447E-2</v>
      </c>
      <c r="EF12" s="31">
        <f t="shared" si="184"/>
        <v>143670.0694401834</v>
      </c>
      <c r="EG12" s="75">
        <f t="shared" si="185"/>
        <v>0</v>
      </c>
      <c r="EH12" s="71" t="s">
        <v>8</v>
      </c>
      <c r="EI12" s="27" t="s">
        <v>8</v>
      </c>
      <c r="EJ12" s="32">
        <f t="shared" si="186"/>
        <v>0.62997938201475145</v>
      </c>
      <c r="EK12" s="30">
        <f t="shared" si="187"/>
        <v>2.9737738790929447E-2</v>
      </c>
      <c r="EL12" s="31">
        <f t="shared" si="188"/>
        <v>143670.0694401834</v>
      </c>
      <c r="EM12" s="75">
        <f t="shared" si="189"/>
        <v>0</v>
      </c>
      <c r="EN12" s="71" t="s">
        <v>8</v>
      </c>
      <c r="EO12" s="27" t="s">
        <v>8</v>
      </c>
      <c r="EP12" s="32">
        <f t="shared" si="190"/>
        <v>0.62997938201475145</v>
      </c>
      <c r="EQ12" s="30">
        <f t="shared" si="191"/>
        <v>2.9737738790929447E-2</v>
      </c>
      <c r="ER12" s="31">
        <f t="shared" si="192"/>
        <v>143670.0694401834</v>
      </c>
      <c r="ES12" s="75">
        <f t="shared" si="193"/>
        <v>0</v>
      </c>
      <c r="ET12" s="71" t="s">
        <v>8</v>
      </c>
      <c r="EU12" s="27" t="s">
        <v>8</v>
      </c>
      <c r="EV12" s="32">
        <f t="shared" si="194"/>
        <v>0.62997938201475145</v>
      </c>
      <c r="EW12" s="30">
        <f t="shared" si="195"/>
        <v>2.9737738790929447E-2</v>
      </c>
      <c r="EX12" s="31">
        <f t="shared" si="196"/>
        <v>143670.0694401834</v>
      </c>
      <c r="EY12" s="75">
        <f t="shared" si="197"/>
        <v>0</v>
      </c>
      <c r="EZ12" s="71" t="s">
        <v>8</v>
      </c>
      <c r="FA12" s="27" t="s">
        <v>8</v>
      </c>
      <c r="FB12" s="32">
        <f t="shared" si="198"/>
        <v>0.62997938201475145</v>
      </c>
      <c r="FC12" s="30">
        <f t="shared" si="199"/>
        <v>2.9737738790929447E-2</v>
      </c>
      <c r="FD12" s="31">
        <f t="shared" si="200"/>
        <v>143670.0694401834</v>
      </c>
      <c r="FE12" s="75">
        <f t="shared" si="201"/>
        <v>0</v>
      </c>
      <c r="FF12" s="71" t="s">
        <v>8</v>
      </c>
      <c r="FG12" s="27" t="s">
        <v>8</v>
      </c>
      <c r="FH12" s="32">
        <f t="shared" si="202"/>
        <v>0.62997938201475145</v>
      </c>
      <c r="FI12" s="30">
        <f t="shared" si="203"/>
        <v>2.9737738790929447E-2</v>
      </c>
      <c r="FJ12" s="31">
        <f t="shared" si="204"/>
        <v>143670.0694401834</v>
      </c>
      <c r="FK12" s="75">
        <f t="shared" si="205"/>
        <v>0</v>
      </c>
      <c r="FL12" s="71" t="s">
        <v>8</v>
      </c>
      <c r="FM12" s="27" t="s">
        <v>8</v>
      </c>
      <c r="FN12" s="32">
        <f t="shared" si="206"/>
        <v>0.62997938201475145</v>
      </c>
      <c r="FO12" s="30">
        <f t="shared" si="207"/>
        <v>2.9737738790929447E-2</v>
      </c>
      <c r="FP12" s="31">
        <f t="shared" si="208"/>
        <v>143670.0694401834</v>
      </c>
      <c r="FQ12" s="75">
        <f t="shared" si="209"/>
        <v>0</v>
      </c>
      <c r="FR12" s="71" t="s">
        <v>8</v>
      </c>
      <c r="FS12" s="27" t="s">
        <v>8</v>
      </c>
      <c r="FT12" s="32">
        <f t="shared" si="210"/>
        <v>0.62997938201475145</v>
      </c>
      <c r="FU12" s="30">
        <f t="shared" si="211"/>
        <v>2.9737738790929447E-2</v>
      </c>
      <c r="FV12" s="31">
        <f t="shared" si="212"/>
        <v>143670.0694401834</v>
      </c>
      <c r="FW12" s="75">
        <f t="shared" si="213"/>
        <v>0</v>
      </c>
      <c r="FX12" s="71" t="s">
        <v>8</v>
      </c>
      <c r="FY12" s="27" t="s">
        <v>8</v>
      </c>
      <c r="FZ12" s="32">
        <f t="shared" si="214"/>
        <v>0.62997938201475145</v>
      </c>
      <c r="GA12" s="30">
        <f t="shared" si="215"/>
        <v>2.9737738790929447E-2</v>
      </c>
      <c r="GB12" s="31">
        <f t="shared" si="216"/>
        <v>143670.0694401834</v>
      </c>
      <c r="GC12" s="75">
        <f t="shared" si="217"/>
        <v>0</v>
      </c>
      <c r="GD12" s="71" t="s">
        <v>8</v>
      </c>
      <c r="GE12" s="27" t="s">
        <v>8</v>
      </c>
      <c r="GF12" s="32">
        <f t="shared" si="218"/>
        <v>0.62997938201475145</v>
      </c>
      <c r="GG12" s="30">
        <f t="shared" si="219"/>
        <v>2.9737738790929447E-2</v>
      </c>
      <c r="GH12" s="31">
        <f t="shared" si="220"/>
        <v>143670.0694401834</v>
      </c>
      <c r="GI12" s="115">
        <f t="shared" si="221"/>
        <v>0</v>
      </c>
      <c r="GJ12" s="139">
        <f t="shared" si="227"/>
        <v>889067.09667650028</v>
      </c>
      <c r="GK12" s="254">
        <f t="shared" si="222"/>
        <v>905310.02777149843</v>
      </c>
      <c r="GL12" s="196">
        <f t="shared" si="228"/>
        <v>0.62997938201475134</v>
      </c>
      <c r="GM12" s="237">
        <v>902848.67</v>
      </c>
      <c r="GN12" s="244"/>
    </row>
    <row r="13" spans="1:196" s="22" customFormat="1" ht="15.75" customHeight="1" x14ac:dyDescent="0.25">
      <c r="A13" s="110" t="s">
        <v>177</v>
      </c>
      <c r="B13" s="130" t="s">
        <v>8</v>
      </c>
      <c r="C13" s="130" t="s">
        <v>8</v>
      </c>
      <c r="D13" s="130" t="s">
        <v>8</v>
      </c>
      <c r="E13" s="130" t="s">
        <v>8</v>
      </c>
      <c r="F13" s="130" t="s">
        <v>8</v>
      </c>
      <c r="G13" s="95">
        <f>'Исходные данные'!C15</f>
        <v>781</v>
      </c>
      <c r="H13" s="28">
        <f>'Исходные данные'!D15</f>
        <v>368411</v>
      </c>
      <c r="I13" s="29">
        <f>'Расчет КРП'!G11</f>
        <v>6.4152924698032363</v>
      </c>
      <c r="J13" s="102" t="s">
        <v>8</v>
      </c>
      <c r="K13" s="106">
        <f t="shared" si="104"/>
        <v>8.5038106083625845E-2</v>
      </c>
      <c r="L13" s="72">
        <f t="shared" si="223"/>
        <v>128138.67863831879</v>
      </c>
      <c r="M13" s="68">
        <f t="shared" si="224"/>
        <v>0.11461559032666147</v>
      </c>
      <c r="N13" s="27" t="s">
        <v>8</v>
      </c>
      <c r="O13" s="30">
        <f t="shared" si="225"/>
        <v>8.7327018330476264E-2</v>
      </c>
      <c r="P13" s="31">
        <f t="shared" si="105"/>
        <v>450114.18782793637</v>
      </c>
      <c r="Q13" s="75">
        <f>IF(($F$20-P$20)&gt;0,P13,$F$20*P13/P$20)</f>
        <v>450114.18782793637</v>
      </c>
      <c r="R13" s="134" t="s">
        <v>8</v>
      </c>
      <c r="S13" s="27" t="s">
        <v>8</v>
      </c>
      <c r="T13" s="32">
        <f t="shared" si="106"/>
        <v>0.21851275423940331</v>
      </c>
      <c r="U13" s="30">
        <f t="shared" si="107"/>
        <v>9.0301814368028754E-2</v>
      </c>
      <c r="V13" s="48">
        <f t="shared" si="108"/>
        <v>610466.73202162818</v>
      </c>
      <c r="W13" s="75">
        <f t="shared" si="109"/>
        <v>610466.73202162818</v>
      </c>
      <c r="X13" s="71" t="s">
        <v>8</v>
      </c>
      <c r="Y13" s="27" t="s">
        <v>8</v>
      </c>
      <c r="Z13" s="32">
        <f t="shared" si="110"/>
        <v>0.35942313617202643</v>
      </c>
      <c r="AA13" s="30">
        <f t="shared" si="111"/>
        <v>6.176697156867611E-2</v>
      </c>
      <c r="AB13" s="48">
        <f t="shared" si="112"/>
        <v>533515.90456479031</v>
      </c>
      <c r="AC13" s="75">
        <f t="shared" si="113"/>
        <v>533515.90456479031</v>
      </c>
      <c r="AD13" s="71" t="s">
        <v>8</v>
      </c>
      <c r="AE13" s="27" t="s">
        <v>8</v>
      </c>
      <c r="AF13" s="32">
        <f t="shared" si="114"/>
        <v>0.48257141917574303</v>
      </c>
      <c r="AG13" s="30">
        <f t="shared" si="115"/>
        <v>4.4858233324477192E-2</v>
      </c>
      <c r="AH13" s="48">
        <f t="shared" si="116"/>
        <v>464387.89073891856</v>
      </c>
      <c r="AI13" s="75">
        <f t="shared" si="117"/>
        <v>464387.89073891856</v>
      </c>
      <c r="AJ13" s="71" t="s">
        <v>8</v>
      </c>
      <c r="AK13" s="27" t="s">
        <v>8</v>
      </c>
      <c r="AL13" s="32">
        <f t="shared" si="118"/>
        <v>0.58976329649918724</v>
      </c>
      <c r="AM13" s="30">
        <f t="shared" si="119"/>
        <v>3.1769673203104642E-2</v>
      </c>
      <c r="AN13" s="48">
        <f t="shared" si="120"/>
        <v>401053.73271865165</v>
      </c>
      <c r="AO13" s="75">
        <f t="shared" si="121"/>
        <v>166635.71552168648</v>
      </c>
      <c r="AP13" s="71" t="s">
        <v>8</v>
      </c>
      <c r="AQ13" s="27" t="s">
        <v>8</v>
      </c>
      <c r="AR13" s="32">
        <f t="shared" si="122"/>
        <v>0.62822682135011199</v>
      </c>
      <c r="AS13" s="30">
        <f t="shared" si="123"/>
        <v>3.1490299455568915E-2</v>
      </c>
      <c r="AT13" s="48">
        <f t="shared" si="124"/>
        <v>424053.4589469473</v>
      </c>
      <c r="AU13" s="75">
        <f t="shared" si="125"/>
        <v>0</v>
      </c>
      <c r="AV13" s="71" t="s">
        <v>8</v>
      </c>
      <c r="AW13" s="27" t="s">
        <v>8</v>
      </c>
      <c r="AX13" s="32">
        <f t="shared" si="126"/>
        <v>0.62822682135011199</v>
      </c>
      <c r="AY13" s="30">
        <f t="shared" si="127"/>
        <v>3.1490299455568915E-2</v>
      </c>
      <c r="AZ13" s="48">
        <f t="shared" si="128"/>
        <v>424053.4589469473</v>
      </c>
      <c r="BA13" s="75">
        <f t="shared" si="129"/>
        <v>0</v>
      </c>
      <c r="BB13" s="71" t="s">
        <v>8</v>
      </c>
      <c r="BC13" s="27" t="s">
        <v>8</v>
      </c>
      <c r="BD13" s="32">
        <f t="shared" si="130"/>
        <v>0.62822682135011199</v>
      </c>
      <c r="BE13" s="30">
        <f t="shared" si="131"/>
        <v>3.1490299455568915E-2</v>
      </c>
      <c r="BF13" s="48">
        <f t="shared" si="132"/>
        <v>424053.4589469473</v>
      </c>
      <c r="BG13" s="75">
        <f t="shared" si="133"/>
        <v>0</v>
      </c>
      <c r="BH13" s="71" t="s">
        <v>8</v>
      </c>
      <c r="BI13" s="27" t="s">
        <v>8</v>
      </c>
      <c r="BJ13" s="32">
        <f t="shared" si="134"/>
        <v>0.62822682135011199</v>
      </c>
      <c r="BK13" s="30">
        <f t="shared" si="135"/>
        <v>3.1490299455568915E-2</v>
      </c>
      <c r="BL13" s="48">
        <f t="shared" si="136"/>
        <v>424053.4589469473</v>
      </c>
      <c r="BM13" s="75">
        <f t="shared" si="137"/>
        <v>0</v>
      </c>
      <c r="BN13" s="71" t="s">
        <v>8</v>
      </c>
      <c r="BO13" s="27" t="s">
        <v>8</v>
      </c>
      <c r="BP13" s="32">
        <f t="shared" si="138"/>
        <v>0.62822682135011199</v>
      </c>
      <c r="BQ13" s="30">
        <f t="shared" si="139"/>
        <v>3.1490299455568915E-2</v>
      </c>
      <c r="BR13" s="48">
        <f t="shared" si="140"/>
        <v>424053.4589469473</v>
      </c>
      <c r="BS13" s="115">
        <f t="shared" si="141"/>
        <v>0</v>
      </c>
      <c r="BT13" s="71" t="s">
        <v>8</v>
      </c>
      <c r="BU13" s="27" t="s">
        <v>8</v>
      </c>
      <c r="BV13" s="32">
        <f t="shared" si="142"/>
        <v>0.62822682135011199</v>
      </c>
      <c r="BW13" s="30">
        <f t="shared" si="143"/>
        <v>3.1490299455568915E-2</v>
      </c>
      <c r="BX13" s="48">
        <f t="shared" si="144"/>
        <v>424053.4589469473</v>
      </c>
      <c r="BY13" s="115">
        <f t="shared" si="145"/>
        <v>0</v>
      </c>
      <c r="BZ13" s="71" t="s">
        <v>8</v>
      </c>
      <c r="CA13" s="27" t="s">
        <v>8</v>
      </c>
      <c r="CB13" s="32">
        <f t="shared" si="146"/>
        <v>0.62822682135011199</v>
      </c>
      <c r="CC13" s="30">
        <f t="shared" si="147"/>
        <v>3.1490299455568915E-2</v>
      </c>
      <c r="CD13" s="48">
        <f t="shared" si="148"/>
        <v>424053.4589469473</v>
      </c>
      <c r="CE13" s="115">
        <f t="shared" si="149"/>
        <v>0</v>
      </c>
      <c r="CF13" s="71" t="s">
        <v>8</v>
      </c>
      <c r="CG13" s="27" t="s">
        <v>8</v>
      </c>
      <c r="CH13" s="32">
        <f t="shared" si="150"/>
        <v>0.62822682135011199</v>
      </c>
      <c r="CI13" s="30">
        <f t="shared" si="151"/>
        <v>3.1490299455568915E-2</v>
      </c>
      <c r="CJ13" s="48">
        <f t="shared" si="152"/>
        <v>424053.4589469473</v>
      </c>
      <c r="CK13" s="115">
        <f t="shared" si="153"/>
        <v>0</v>
      </c>
      <c r="CL13" s="71" t="s">
        <v>8</v>
      </c>
      <c r="CM13" s="27" t="s">
        <v>8</v>
      </c>
      <c r="CN13" s="32">
        <f t="shared" si="154"/>
        <v>0.62822682135011199</v>
      </c>
      <c r="CO13" s="30">
        <f t="shared" si="155"/>
        <v>3.1490299455568915E-2</v>
      </c>
      <c r="CP13" s="48">
        <f t="shared" si="156"/>
        <v>424053.4589469473</v>
      </c>
      <c r="CQ13" s="115">
        <f t="shared" si="157"/>
        <v>0</v>
      </c>
      <c r="CR13" s="71" t="s">
        <v>8</v>
      </c>
      <c r="CS13" s="27" t="s">
        <v>8</v>
      </c>
      <c r="CT13" s="32">
        <f t="shared" si="158"/>
        <v>0.62822682135011199</v>
      </c>
      <c r="CU13" s="30">
        <f t="shared" si="159"/>
        <v>3.1490299455568915E-2</v>
      </c>
      <c r="CV13" s="48">
        <f t="shared" si="160"/>
        <v>424053.4589469473</v>
      </c>
      <c r="CW13" s="115">
        <f t="shared" si="161"/>
        <v>0</v>
      </c>
      <c r="CX13" s="71" t="s">
        <v>8</v>
      </c>
      <c r="CY13" s="27" t="s">
        <v>8</v>
      </c>
      <c r="CZ13" s="32">
        <f t="shared" si="162"/>
        <v>0.62822682135011199</v>
      </c>
      <c r="DA13" s="30">
        <f t="shared" si="163"/>
        <v>3.1490299455568915E-2</v>
      </c>
      <c r="DB13" s="48">
        <f t="shared" si="164"/>
        <v>424053.4589469473</v>
      </c>
      <c r="DC13" s="115">
        <f t="shared" si="165"/>
        <v>0</v>
      </c>
      <c r="DD13" s="71" t="s">
        <v>8</v>
      </c>
      <c r="DE13" s="27" t="s">
        <v>8</v>
      </c>
      <c r="DF13" s="32">
        <f t="shared" si="166"/>
        <v>0.62822682135011199</v>
      </c>
      <c r="DG13" s="30">
        <f t="shared" si="167"/>
        <v>3.1490299455568915E-2</v>
      </c>
      <c r="DH13" s="48">
        <f t="shared" si="168"/>
        <v>424053.4589469473</v>
      </c>
      <c r="DI13" s="115">
        <f t="shared" si="169"/>
        <v>0</v>
      </c>
      <c r="DJ13" s="71" t="s">
        <v>8</v>
      </c>
      <c r="DK13" s="27" t="s">
        <v>8</v>
      </c>
      <c r="DL13" s="32">
        <f t="shared" si="170"/>
        <v>0.62822682135011199</v>
      </c>
      <c r="DM13" s="30">
        <f t="shared" si="171"/>
        <v>3.1490299455568915E-2</v>
      </c>
      <c r="DN13" s="48">
        <f t="shared" si="172"/>
        <v>424053.4589469473</v>
      </c>
      <c r="DO13" s="115">
        <f t="shared" si="173"/>
        <v>0</v>
      </c>
      <c r="DP13" s="71" t="s">
        <v>8</v>
      </c>
      <c r="DQ13" s="27" t="s">
        <v>8</v>
      </c>
      <c r="DR13" s="32">
        <f t="shared" si="174"/>
        <v>0.62822682135011199</v>
      </c>
      <c r="DS13" s="30">
        <f t="shared" si="175"/>
        <v>3.1490299455568915E-2</v>
      </c>
      <c r="DT13" s="48">
        <f t="shared" si="176"/>
        <v>424053.4589469473</v>
      </c>
      <c r="DU13" s="115">
        <f t="shared" si="177"/>
        <v>0</v>
      </c>
      <c r="DV13" s="71" t="s">
        <v>8</v>
      </c>
      <c r="DW13" s="27" t="s">
        <v>8</v>
      </c>
      <c r="DX13" s="32">
        <f t="shared" si="178"/>
        <v>0.62822682135011199</v>
      </c>
      <c r="DY13" s="30">
        <f t="shared" si="179"/>
        <v>3.1490299455568915E-2</v>
      </c>
      <c r="DZ13" s="31">
        <f t="shared" si="180"/>
        <v>424053.4589469473</v>
      </c>
      <c r="EA13" s="75">
        <f t="shared" si="181"/>
        <v>0</v>
      </c>
      <c r="EB13" s="71" t="s">
        <v>8</v>
      </c>
      <c r="EC13" s="27" t="s">
        <v>8</v>
      </c>
      <c r="ED13" s="32">
        <f t="shared" si="182"/>
        <v>0.62822682135011199</v>
      </c>
      <c r="EE13" s="30">
        <f t="shared" si="183"/>
        <v>3.1490299455568915E-2</v>
      </c>
      <c r="EF13" s="31">
        <f t="shared" si="184"/>
        <v>424053.4589469473</v>
      </c>
      <c r="EG13" s="75">
        <f t="shared" si="185"/>
        <v>0</v>
      </c>
      <c r="EH13" s="71" t="s">
        <v>8</v>
      </c>
      <c r="EI13" s="27" t="s">
        <v>8</v>
      </c>
      <c r="EJ13" s="32">
        <f t="shared" si="186"/>
        <v>0.62822682135011199</v>
      </c>
      <c r="EK13" s="30">
        <f t="shared" si="187"/>
        <v>3.1490299455568915E-2</v>
      </c>
      <c r="EL13" s="31">
        <f t="shared" si="188"/>
        <v>424053.4589469473</v>
      </c>
      <c r="EM13" s="75">
        <f t="shared" si="189"/>
        <v>0</v>
      </c>
      <c r="EN13" s="71" t="s">
        <v>8</v>
      </c>
      <c r="EO13" s="27" t="s">
        <v>8</v>
      </c>
      <c r="EP13" s="32">
        <f t="shared" si="190"/>
        <v>0.62822682135011199</v>
      </c>
      <c r="EQ13" s="30">
        <f t="shared" si="191"/>
        <v>3.1490299455568915E-2</v>
      </c>
      <c r="ER13" s="31">
        <f t="shared" si="192"/>
        <v>424053.4589469473</v>
      </c>
      <c r="ES13" s="75">
        <f t="shared" si="193"/>
        <v>0</v>
      </c>
      <c r="ET13" s="71" t="s">
        <v>8</v>
      </c>
      <c r="EU13" s="27" t="s">
        <v>8</v>
      </c>
      <c r="EV13" s="32">
        <f t="shared" si="194"/>
        <v>0.62822682135011199</v>
      </c>
      <c r="EW13" s="30">
        <f t="shared" si="195"/>
        <v>3.1490299455568915E-2</v>
      </c>
      <c r="EX13" s="31">
        <f t="shared" si="196"/>
        <v>424053.4589469473</v>
      </c>
      <c r="EY13" s="75">
        <f t="shared" si="197"/>
        <v>0</v>
      </c>
      <c r="EZ13" s="71" t="s">
        <v>8</v>
      </c>
      <c r="FA13" s="27" t="s">
        <v>8</v>
      </c>
      <c r="FB13" s="32">
        <f t="shared" si="198"/>
        <v>0.62822682135011199</v>
      </c>
      <c r="FC13" s="30">
        <f t="shared" si="199"/>
        <v>3.1490299455568915E-2</v>
      </c>
      <c r="FD13" s="31">
        <f t="shared" si="200"/>
        <v>424053.4589469473</v>
      </c>
      <c r="FE13" s="75">
        <f t="shared" si="201"/>
        <v>0</v>
      </c>
      <c r="FF13" s="71" t="s">
        <v>8</v>
      </c>
      <c r="FG13" s="27" t="s">
        <v>8</v>
      </c>
      <c r="FH13" s="32">
        <f t="shared" si="202"/>
        <v>0.62822682135011199</v>
      </c>
      <c r="FI13" s="30">
        <f t="shared" si="203"/>
        <v>3.1490299455568915E-2</v>
      </c>
      <c r="FJ13" s="31">
        <f t="shared" si="204"/>
        <v>424053.4589469473</v>
      </c>
      <c r="FK13" s="75">
        <f t="shared" si="205"/>
        <v>0</v>
      </c>
      <c r="FL13" s="71" t="s">
        <v>8</v>
      </c>
      <c r="FM13" s="27" t="s">
        <v>8</v>
      </c>
      <c r="FN13" s="32">
        <f t="shared" si="206"/>
        <v>0.62822682135011199</v>
      </c>
      <c r="FO13" s="30">
        <f t="shared" si="207"/>
        <v>3.1490299455568915E-2</v>
      </c>
      <c r="FP13" s="31">
        <f t="shared" si="208"/>
        <v>424053.4589469473</v>
      </c>
      <c r="FQ13" s="75">
        <f t="shared" si="209"/>
        <v>0</v>
      </c>
      <c r="FR13" s="71" t="s">
        <v>8</v>
      </c>
      <c r="FS13" s="27" t="s">
        <v>8</v>
      </c>
      <c r="FT13" s="32">
        <f t="shared" si="210"/>
        <v>0.62822682135011199</v>
      </c>
      <c r="FU13" s="30">
        <f t="shared" si="211"/>
        <v>3.1490299455568915E-2</v>
      </c>
      <c r="FV13" s="31">
        <f t="shared" si="212"/>
        <v>424053.4589469473</v>
      </c>
      <c r="FW13" s="75">
        <f t="shared" si="213"/>
        <v>0</v>
      </c>
      <c r="FX13" s="71" t="s">
        <v>8</v>
      </c>
      <c r="FY13" s="27" t="s">
        <v>8</v>
      </c>
      <c r="FZ13" s="32">
        <f t="shared" si="214"/>
        <v>0.62822682135011199</v>
      </c>
      <c r="GA13" s="30">
        <f t="shared" si="215"/>
        <v>3.1490299455568915E-2</v>
      </c>
      <c r="GB13" s="31">
        <f t="shared" si="216"/>
        <v>424053.4589469473</v>
      </c>
      <c r="GC13" s="75">
        <f t="shared" si="217"/>
        <v>0</v>
      </c>
      <c r="GD13" s="71" t="s">
        <v>8</v>
      </c>
      <c r="GE13" s="27" t="s">
        <v>8</v>
      </c>
      <c r="GF13" s="32">
        <f t="shared" si="218"/>
        <v>0.62822682135011199</v>
      </c>
      <c r="GG13" s="30">
        <f t="shared" si="219"/>
        <v>3.1490299455568915E-2</v>
      </c>
      <c r="GH13" s="31">
        <f t="shared" si="220"/>
        <v>424053.4589469473</v>
      </c>
      <c r="GI13" s="115">
        <f t="shared" si="221"/>
        <v>0</v>
      </c>
      <c r="GJ13" s="139">
        <f t="shared" si="227"/>
        <v>2225120.4306749599</v>
      </c>
      <c r="GK13" s="254">
        <f t="shared" si="222"/>
        <v>2353259.1093132785</v>
      </c>
      <c r="GL13" s="196">
        <f t="shared" si="228"/>
        <v>0.62822682135011199</v>
      </c>
      <c r="GM13" s="237">
        <v>2337104.11</v>
      </c>
      <c r="GN13" s="244"/>
    </row>
    <row r="14" spans="1:196" s="22" customFormat="1" x14ac:dyDescent="0.25">
      <c r="A14" s="110" t="s">
        <v>178</v>
      </c>
      <c r="B14" s="130" t="s">
        <v>8</v>
      </c>
      <c r="C14" s="130" t="s">
        <v>8</v>
      </c>
      <c r="D14" s="130" t="s">
        <v>8</v>
      </c>
      <c r="E14" s="130" t="s">
        <v>8</v>
      </c>
      <c r="F14" s="130" t="s">
        <v>8</v>
      </c>
      <c r="G14" s="95">
        <f>'Исходные данные'!C16</f>
        <v>354</v>
      </c>
      <c r="H14" s="28">
        <f>'Исходные данные'!D16</f>
        <v>195741</v>
      </c>
      <c r="I14" s="29">
        <f>'Расчет КРП'!G12</f>
        <v>7.9728886319877086</v>
      </c>
      <c r="J14" s="102" t="s">
        <v>8</v>
      </c>
      <c r="K14" s="106">
        <f t="shared" si="104"/>
        <v>8.0206825474799875E-2</v>
      </c>
      <c r="L14" s="72">
        <f t="shared" si="223"/>
        <v>58080.783915447952</v>
      </c>
      <c r="M14" s="68">
        <f t="shared" si="224"/>
        <v>0.10400600550834369</v>
      </c>
      <c r="N14" s="27" t="s">
        <v>8</v>
      </c>
      <c r="O14" s="30">
        <f t="shared" si="225"/>
        <v>9.7936603148794044E-2</v>
      </c>
      <c r="P14" s="31">
        <f t="shared" si="105"/>
        <v>284361.35345480079</v>
      </c>
      <c r="Q14" s="75">
        <f t="shared" si="226"/>
        <v>284361.35345480079</v>
      </c>
      <c r="R14" s="134" t="s">
        <v>8</v>
      </c>
      <c r="S14" s="27" t="s">
        <v>8</v>
      </c>
      <c r="T14" s="32">
        <f t="shared" si="106"/>
        <v>0.22052590398810568</v>
      </c>
      <c r="U14" s="30">
        <f t="shared" si="107"/>
        <v>8.8288664619326385E-2</v>
      </c>
      <c r="V14" s="48">
        <f t="shared" si="108"/>
        <v>336218.75747537747</v>
      </c>
      <c r="W14" s="75">
        <f t="shared" si="109"/>
        <v>336218.75747537747</v>
      </c>
      <c r="X14" s="71" t="s">
        <v>8</v>
      </c>
      <c r="Y14" s="27" t="s">
        <v>8</v>
      </c>
      <c r="Z14" s="32">
        <f t="shared" si="110"/>
        <v>0.35829489056823793</v>
      </c>
      <c r="AA14" s="30">
        <f t="shared" si="111"/>
        <v>6.2895217172464601E-2</v>
      </c>
      <c r="AB14" s="48">
        <f t="shared" si="112"/>
        <v>306027.28458625416</v>
      </c>
      <c r="AC14" s="75">
        <f t="shared" si="113"/>
        <v>306027.28458625416</v>
      </c>
      <c r="AD14" s="71" t="s">
        <v>8</v>
      </c>
      <c r="AE14" s="27" t="s">
        <v>8</v>
      </c>
      <c r="AF14" s="32">
        <f t="shared" si="114"/>
        <v>0.48369262024846121</v>
      </c>
      <c r="AG14" s="30">
        <f t="shared" si="115"/>
        <v>4.3737032251759012E-2</v>
      </c>
      <c r="AH14" s="48">
        <f t="shared" si="116"/>
        <v>255058.32162526902</v>
      </c>
      <c r="AI14" s="75">
        <f t="shared" si="117"/>
        <v>255058.32162526902</v>
      </c>
      <c r="AJ14" s="71" t="s">
        <v>8</v>
      </c>
      <c r="AK14" s="27" t="s">
        <v>8</v>
      </c>
      <c r="AL14" s="32">
        <f t="shared" si="118"/>
        <v>0.58820530940654936</v>
      </c>
      <c r="AM14" s="30">
        <f t="shared" si="119"/>
        <v>3.3327660295742523E-2</v>
      </c>
      <c r="AN14" s="48">
        <f t="shared" si="120"/>
        <v>236998.77798561455</v>
      </c>
      <c r="AO14" s="75">
        <f t="shared" si="121"/>
        <v>98471.745119258267</v>
      </c>
      <c r="AP14" s="71" t="s">
        <v>8</v>
      </c>
      <c r="AQ14" s="27" t="s">
        <v>8</v>
      </c>
      <c r="AR14" s="32">
        <f t="shared" si="122"/>
        <v>0.62855508832348217</v>
      </c>
      <c r="AS14" s="30">
        <f t="shared" si="123"/>
        <v>3.1162032482198732E-2</v>
      </c>
      <c r="AT14" s="48">
        <f t="shared" si="124"/>
        <v>236385.62394016006</v>
      </c>
      <c r="AU14" s="75">
        <f t="shared" si="125"/>
        <v>0</v>
      </c>
      <c r="AV14" s="71" t="s">
        <v>8</v>
      </c>
      <c r="AW14" s="27" t="s">
        <v>8</v>
      </c>
      <c r="AX14" s="32">
        <f t="shared" si="126"/>
        <v>0.62855508832348217</v>
      </c>
      <c r="AY14" s="30">
        <f t="shared" si="127"/>
        <v>3.1162032482198732E-2</v>
      </c>
      <c r="AZ14" s="48">
        <f t="shared" si="128"/>
        <v>236385.62394016006</v>
      </c>
      <c r="BA14" s="75">
        <f t="shared" si="129"/>
        <v>0</v>
      </c>
      <c r="BB14" s="71" t="s">
        <v>8</v>
      </c>
      <c r="BC14" s="27" t="s">
        <v>8</v>
      </c>
      <c r="BD14" s="32">
        <f t="shared" si="130"/>
        <v>0.62855508832348217</v>
      </c>
      <c r="BE14" s="30">
        <f t="shared" si="131"/>
        <v>3.1162032482198732E-2</v>
      </c>
      <c r="BF14" s="48">
        <f t="shared" si="132"/>
        <v>236385.62394016006</v>
      </c>
      <c r="BG14" s="75">
        <f t="shared" si="133"/>
        <v>0</v>
      </c>
      <c r="BH14" s="71" t="s">
        <v>8</v>
      </c>
      <c r="BI14" s="27" t="s">
        <v>8</v>
      </c>
      <c r="BJ14" s="32">
        <f t="shared" si="134"/>
        <v>0.62855508832348217</v>
      </c>
      <c r="BK14" s="30">
        <f t="shared" si="135"/>
        <v>3.1162032482198732E-2</v>
      </c>
      <c r="BL14" s="48">
        <f t="shared" si="136"/>
        <v>236385.62394016006</v>
      </c>
      <c r="BM14" s="75">
        <f t="shared" si="137"/>
        <v>0</v>
      </c>
      <c r="BN14" s="71" t="s">
        <v>8</v>
      </c>
      <c r="BO14" s="27" t="s">
        <v>8</v>
      </c>
      <c r="BP14" s="32">
        <f t="shared" si="138"/>
        <v>0.62855508832348217</v>
      </c>
      <c r="BQ14" s="30">
        <f t="shared" si="139"/>
        <v>3.1162032482198732E-2</v>
      </c>
      <c r="BR14" s="48">
        <f t="shared" si="140"/>
        <v>236385.62394016006</v>
      </c>
      <c r="BS14" s="115">
        <f t="shared" si="141"/>
        <v>0</v>
      </c>
      <c r="BT14" s="71" t="s">
        <v>8</v>
      </c>
      <c r="BU14" s="27" t="s">
        <v>8</v>
      </c>
      <c r="BV14" s="32">
        <f t="shared" si="142"/>
        <v>0.62855508832348217</v>
      </c>
      <c r="BW14" s="30">
        <f t="shared" si="143"/>
        <v>3.1162032482198732E-2</v>
      </c>
      <c r="BX14" s="48">
        <f t="shared" si="144"/>
        <v>236385.62394016006</v>
      </c>
      <c r="BY14" s="115">
        <f t="shared" si="145"/>
        <v>0</v>
      </c>
      <c r="BZ14" s="71" t="s">
        <v>8</v>
      </c>
      <c r="CA14" s="27" t="s">
        <v>8</v>
      </c>
      <c r="CB14" s="32">
        <f t="shared" si="146"/>
        <v>0.62855508832348217</v>
      </c>
      <c r="CC14" s="30">
        <f t="shared" si="147"/>
        <v>3.1162032482198732E-2</v>
      </c>
      <c r="CD14" s="48">
        <f t="shared" si="148"/>
        <v>236385.62394016006</v>
      </c>
      <c r="CE14" s="115">
        <f t="shared" si="149"/>
        <v>0</v>
      </c>
      <c r="CF14" s="71" t="s">
        <v>8</v>
      </c>
      <c r="CG14" s="27" t="s">
        <v>8</v>
      </c>
      <c r="CH14" s="32">
        <f t="shared" si="150"/>
        <v>0.62855508832348217</v>
      </c>
      <c r="CI14" s="30">
        <f t="shared" si="151"/>
        <v>3.1162032482198732E-2</v>
      </c>
      <c r="CJ14" s="48">
        <f t="shared" si="152"/>
        <v>236385.62394016006</v>
      </c>
      <c r="CK14" s="115">
        <f t="shared" si="153"/>
        <v>0</v>
      </c>
      <c r="CL14" s="71" t="s">
        <v>8</v>
      </c>
      <c r="CM14" s="27" t="s">
        <v>8</v>
      </c>
      <c r="CN14" s="32">
        <f t="shared" si="154"/>
        <v>0.62855508832348217</v>
      </c>
      <c r="CO14" s="30">
        <f t="shared" si="155"/>
        <v>3.1162032482198732E-2</v>
      </c>
      <c r="CP14" s="48">
        <f t="shared" si="156"/>
        <v>236385.62394016006</v>
      </c>
      <c r="CQ14" s="115">
        <f t="shared" si="157"/>
        <v>0</v>
      </c>
      <c r="CR14" s="71" t="s">
        <v>8</v>
      </c>
      <c r="CS14" s="27" t="s">
        <v>8</v>
      </c>
      <c r="CT14" s="32">
        <f t="shared" si="158"/>
        <v>0.62855508832348217</v>
      </c>
      <c r="CU14" s="30">
        <f t="shared" si="159"/>
        <v>3.1162032482198732E-2</v>
      </c>
      <c r="CV14" s="48">
        <f t="shared" si="160"/>
        <v>236385.62394016006</v>
      </c>
      <c r="CW14" s="115">
        <f t="shared" si="161"/>
        <v>0</v>
      </c>
      <c r="CX14" s="71" t="s">
        <v>8</v>
      </c>
      <c r="CY14" s="27" t="s">
        <v>8</v>
      </c>
      <c r="CZ14" s="32">
        <f t="shared" si="162"/>
        <v>0.62855508832348217</v>
      </c>
      <c r="DA14" s="30">
        <f t="shared" si="163"/>
        <v>3.1162032482198732E-2</v>
      </c>
      <c r="DB14" s="48">
        <f t="shared" si="164"/>
        <v>236385.62394016006</v>
      </c>
      <c r="DC14" s="115">
        <f t="shared" si="165"/>
        <v>0</v>
      </c>
      <c r="DD14" s="71" t="s">
        <v>8</v>
      </c>
      <c r="DE14" s="27" t="s">
        <v>8</v>
      </c>
      <c r="DF14" s="32">
        <f t="shared" si="166"/>
        <v>0.62855508832348217</v>
      </c>
      <c r="DG14" s="30">
        <f t="shared" si="167"/>
        <v>3.1162032482198732E-2</v>
      </c>
      <c r="DH14" s="48">
        <f t="shared" si="168"/>
        <v>236385.62394016006</v>
      </c>
      <c r="DI14" s="115">
        <f t="shared" si="169"/>
        <v>0</v>
      </c>
      <c r="DJ14" s="71" t="s">
        <v>8</v>
      </c>
      <c r="DK14" s="27" t="s">
        <v>8</v>
      </c>
      <c r="DL14" s="32">
        <f t="shared" si="170"/>
        <v>0.62855508832348217</v>
      </c>
      <c r="DM14" s="30">
        <f t="shared" si="171"/>
        <v>3.1162032482198732E-2</v>
      </c>
      <c r="DN14" s="48">
        <f t="shared" si="172"/>
        <v>236385.62394016006</v>
      </c>
      <c r="DO14" s="115">
        <f t="shared" si="173"/>
        <v>0</v>
      </c>
      <c r="DP14" s="71" t="s">
        <v>8</v>
      </c>
      <c r="DQ14" s="27" t="s">
        <v>8</v>
      </c>
      <c r="DR14" s="32">
        <f t="shared" si="174"/>
        <v>0.62855508832348217</v>
      </c>
      <c r="DS14" s="30">
        <f t="shared" si="175"/>
        <v>3.1162032482198732E-2</v>
      </c>
      <c r="DT14" s="48">
        <f t="shared" si="176"/>
        <v>236385.62394016006</v>
      </c>
      <c r="DU14" s="115">
        <f t="shared" si="177"/>
        <v>0</v>
      </c>
      <c r="DV14" s="71" t="s">
        <v>8</v>
      </c>
      <c r="DW14" s="27" t="s">
        <v>8</v>
      </c>
      <c r="DX14" s="32">
        <f t="shared" si="178"/>
        <v>0.62855508832348217</v>
      </c>
      <c r="DY14" s="30">
        <f t="shared" si="179"/>
        <v>3.1162032482198732E-2</v>
      </c>
      <c r="DZ14" s="31">
        <f t="shared" si="180"/>
        <v>236385.62394016006</v>
      </c>
      <c r="EA14" s="75">
        <f t="shared" si="181"/>
        <v>0</v>
      </c>
      <c r="EB14" s="71" t="s">
        <v>8</v>
      </c>
      <c r="EC14" s="27" t="s">
        <v>8</v>
      </c>
      <c r="ED14" s="32">
        <f t="shared" si="182"/>
        <v>0.62855508832348217</v>
      </c>
      <c r="EE14" s="30">
        <f t="shared" si="183"/>
        <v>3.1162032482198732E-2</v>
      </c>
      <c r="EF14" s="31">
        <f t="shared" si="184"/>
        <v>236385.62394016006</v>
      </c>
      <c r="EG14" s="75">
        <f t="shared" si="185"/>
        <v>0</v>
      </c>
      <c r="EH14" s="71" t="s">
        <v>8</v>
      </c>
      <c r="EI14" s="27" t="s">
        <v>8</v>
      </c>
      <c r="EJ14" s="32">
        <f t="shared" si="186"/>
        <v>0.62855508832348217</v>
      </c>
      <c r="EK14" s="30">
        <f t="shared" si="187"/>
        <v>3.1162032482198732E-2</v>
      </c>
      <c r="EL14" s="31">
        <f t="shared" si="188"/>
        <v>236385.62394016006</v>
      </c>
      <c r="EM14" s="75">
        <f t="shared" si="189"/>
        <v>0</v>
      </c>
      <c r="EN14" s="71" t="s">
        <v>8</v>
      </c>
      <c r="EO14" s="27" t="s">
        <v>8</v>
      </c>
      <c r="EP14" s="32">
        <f t="shared" si="190"/>
        <v>0.62855508832348217</v>
      </c>
      <c r="EQ14" s="30">
        <f t="shared" si="191"/>
        <v>3.1162032482198732E-2</v>
      </c>
      <c r="ER14" s="31">
        <f t="shared" si="192"/>
        <v>236385.62394016006</v>
      </c>
      <c r="ES14" s="75">
        <f t="shared" si="193"/>
        <v>0</v>
      </c>
      <c r="ET14" s="71" t="s">
        <v>8</v>
      </c>
      <c r="EU14" s="27" t="s">
        <v>8</v>
      </c>
      <c r="EV14" s="32">
        <f t="shared" si="194"/>
        <v>0.62855508832348217</v>
      </c>
      <c r="EW14" s="30">
        <f t="shared" si="195"/>
        <v>3.1162032482198732E-2</v>
      </c>
      <c r="EX14" s="31">
        <f t="shared" si="196"/>
        <v>236385.62394016006</v>
      </c>
      <c r="EY14" s="75">
        <f t="shared" si="197"/>
        <v>0</v>
      </c>
      <c r="EZ14" s="71" t="s">
        <v>8</v>
      </c>
      <c r="FA14" s="27" t="s">
        <v>8</v>
      </c>
      <c r="FB14" s="32">
        <f t="shared" si="198"/>
        <v>0.62855508832348217</v>
      </c>
      <c r="FC14" s="30">
        <f t="shared" si="199"/>
        <v>3.1162032482198732E-2</v>
      </c>
      <c r="FD14" s="31">
        <f t="shared" si="200"/>
        <v>236385.62394016006</v>
      </c>
      <c r="FE14" s="75">
        <f t="shared" si="201"/>
        <v>0</v>
      </c>
      <c r="FF14" s="71" t="s">
        <v>8</v>
      </c>
      <c r="FG14" s="27" t="s">
        <v>8</v>
      </c>
      <c r="FH14" s="32">
        <f t="shared" si="202"/>
        <v>0.62855508832348217</v>
      </c>
      <c r="FI14" s="30">
        <f t="shared" si="203"/>
        <v>3.1162032482198732E-2</v>
      </c>
      <c r="FJ14" s="31">
        <f t="shared" si="204"/>
        <v>236385.62394016006</v>
      </c>
      <c r="FK14" s="75">
        <f t="shared" si="205"/>
        <v>0</v>
      </c>
      <c r="FL14" s="71" t="s">
        <v>8</v>
      </c>
      <c r="FM14" s="27" t="s">
        <v>8</v>
      </c>
      <c r="FN14" s="32">
        <f t="shared" si="206"/>
        <v>0.62855508832348217</v>
      </c>
      <c r="FO14" s="30">
        <f t="shared" si="207"/>
        <v>3.1162032482198732E-2</v>
      </c>
      <c r="FP14" s="31">
        <f t="shared" si="208"/>
        <v>236385.62394016006</v>
      </c>
      <c r="FQ14" s="75">
        <f t="shared" si="209"/>
        <v>0</v>
      </c>
      <c r="FR14" s="71" t="s">
        <v>8</v>
      </c>
      <c r="FS14" s="27" t="s">
        <v>8</v>
      </c>
      <c r="FT14" s="32">
        <f t="shared" si="210"/>
        <v>0.62855508832348217</v>
      </c>
      <c r="FU14" s="30">
        <f t="shared" si="211"/>
        <v>3.1162032482198732E-2</v>
      </c>
      <c r="FV14" s="31">
        <f t="shared" si="212"/>
        <v>236385.62394016006</v>
      </c>
      <c r="FW14" s="75">
        <f t="shared" si="213"/>
        <v>0</v>
      </c>
      <c r="FX14" s="71" t="s">
        <v>8</v>
      </c>
      <c r="FY14" s="27" t="s">
        <v>8</v>
      </c>
      <c r="FZ14" s="32">
        <f t="shared" si="214"/>
        <v>0.62855508832348217</v>
      </c>
      <c r="GA14" s="30">
        <f t="shared" si="215"/>
        <v>3.1162032482198732E-2</v>
      </c>
      <c r="GB14" s="31">
        <f t="shared" si="216"/>
        <v>236385.62394016006</v>
      </c>
      <c r="GC14" s="75">
        <f t="shared" si="217"/>
        <v>0</v>
      </c>
      <c r="GD14" s="71" t="s">
        <v>8</v>
      </c>
      <c r="GE14" s="27" t="s">
        <v>8</v>
      </c>
      <c r="GF14" s="32">
        <f t="shared" si="218"/>
        <v>0.62855508832348217</v>
      </c>
      <c r="GG14" s="30">
        <f t="shared" si="219"/>
        <v>3.1162032482198732E-2</v>
      </c>
      <c r="GH14" s="31">
        <f t="shared" si="220"/>
        <v>236385.62394016006</v>
      </c>
      <c r="GI14" s="115">
        <f t="shared" si="221"/>
        <v>0</v>
      </c>
      <c r="GJ14" s="139">
        <f t="shared" si="227"/>
        <v>1280137.4622609597</v>
      </c>
      <c r="GK14" s="254">
        <f t="shared" si="222"/>
        <v>1338218.2461764077</v>
      </c>
      <c r="GL14" s="196">
        <f t="shared" si="228"/>
        <v>0.62855508832348206</v>
      </c>
      <c r="GM14" s="237">
        <v>1328904.3799999999</v>
      </c>
      <c r="GN14" s="244"/>
    </row>
    <row r="15" spans="1:196" s="22" customFormat="1" x14ac:dyDescent="0.25">
      <c r="A15" s="110" t="s">
        <v>179</v>
      </c>
      <c r="B15" s="130" t="s">
        <v>8</v>
      </c>
      <c r="C15" s="130" t="s">
        <v>8</v>
      </c>
      <c r="D15" s="130" t="s">
        <v>8</v>
      </c>
      <c r="E15" s="130" t="s">
        <v>8</v>
      </c>
      <c r="F15" s="130" t="s">
        <v>8</v>
      </c>
      <c r="G15" s="95">
        <f>'Исходные данные'!C17</f>
        <v>333</v>
      </c>
      <c r="H15" s="28">
        <f>'Исходные данные'!D17</f>
        <v>148518</v>
      </c>
      <c r="I15" s="29">
        <f>'Расчет КРП'!G13</f>
        <v>7.8609120505546572</v>
      </c>
      <c r="J15" s="102" t="s">
        <v>8</v>
      </c>
      <c r="K15" s="106">
        <f t="shared" si="104"/>
        <v>6.561609883383028E-2</v>
      </c>
      <c r="L15" s="72">
        <f t="shared" si="223"/>
        <v>54635.31368317562</v>
      </c>
      <c r="M15" s="68">
        <f t="shared" si="224"/>
        <v>8.9754291796653451E-2</v>
      </c>
      <c r="N15" s="27" t="s">
        <v>8</v>
      </c>
      <c r="O15" s="30">
        <f t="shared" si="225"/>
        <v>0.11218831686048428</v>
      </c>
      <c r="P15" s="31">
        <f t="shared" si="105"/>
        <v>302114.36753063131</v>
      </c>
      <c r="Q15" s="75">
        <f t="shared" si="226"/>
        <v>302114.36753063131</v>
      </c>
      <c r="R15" s="134" t="s">
        <v>8</v>
      </c>
      <c r="S15" s="27" t="s">
        <v>8</v>
      </c>
      <c r="T15" s="32">
        <f t="shared" si="106"/>
        <v>0.2232301411819807</v>
      </c>
      <c r="U15" s="30">
        <f t="shared" si="107"/>
        <v>8.5584427425451359E-2</v>
      </c>
      <c r="V15" s="48">
        <f t="shared" si="108"/>
        <v>302280.37429978716</v>
      </c>
      <c r="W15" s="75">
        <f t="shared" si="109"/>
        <v>302280.37429978716</v>
      </c>
      <c r="X15" s="71" t="s">
        <v>8</v>
      </c>
      <c r="Y15" s="27" t="s">
        <v>8</v>
      </c>
      <c r="Z15" s="32">
        <f t="shared" si="110"/>
        <v>0.35677933330402678</v>
      </c>
      <c r="AA15" s="30">
        <f t="shared" si="111"/>
        <v>6.4410774436675755E-2</v>
      </c>
      <c r="AB15" s="48">
        <f t="shared" si="112"/>
        <v>290669.36351547652</v>
      </c>
      <c r="AC15" s="75">
        <f t="shared" si="113"/>
        <v>290669.36351547652</v>
      </c>
      <c r="AD15" s="71" t="s">
        <v>8</v>
      </c>
      <c r="AE15" s="27" t="s">
        <v>8</v>
      </c>
      <c r="AF15" s="32">
        <f t="shared" si="114"/>
        <v>0.48519871468808828</v>
      </c>
      <c r="AG15" s="30">
        <f t="shared" si="115"/>
        <v>4.2230937812131941E-2</v>
      </c>
      <c r="AH15" s="48">
        <f t="shared" si="116"/>
        <v>228412.10882844703</v>
      </c>
      <c r="AI15" s="75">
        <f t="shared" si="117"/>
        <v>228412.10882844703</v>
      </c>
      <c r="AJ15" s="71" t="s">
        <v>8</v>
      </c>
      <c r="AK15" s="27" t="s">
        <v>8</v>
      </c>
      <c r="AL15" s="32">
        <f t="shared" si="118"/>
        <v>0.58611248613485556</v>
      </c>
      <c r="AM15" s="30">
        <f t="shared" si="119"/>
        <v>3.5420483567436323E-2</v>
      </c>
      <c r="AN15" s="48">
        <f t="shared" si="120"/>
        <v>233611.37079636633</v>
      </c>
      <c r="AO15" s="75">
        <f t="shared" si="121"/>
        <v>97064.295257322519</v>
      </c>
      <c r="AP15" s="71" t="s">
        <v>8</v>
      </c>
      <c r="AQ15" s="27" t="s">
        <v>8</v>
      </c>
      <c r="AR15" s="32">
        <f t="shared" si="122"/>
        <v>0.62899604496840134</v>
      </c>
      <c r="AS15" s="30">
        <f t="shared" si="123"/>
        <v>3.0721075837279566E-2</v>
      </c>
      <c r="AT15" s="48">
        <f t="shared" si="124"/>
        <v>216137.39679658317</v>
      </c>
      <c r="AU15" s="75">
        <f t="shared" si="125"/>
        <v>0</v>
      </c>
      <c r="AV15" s="71" t="s">
        <v>8</v>
      </c>
      <c r="AW15" s="27" t="s">
        <v>8</v>
      </c>
      <c r="AX15" s="32">
        <f t="shared" si="126"/>
        <v>0.62899604496840134</v>
      </c>
      <c r="AY15" s="30">
        <f t="shared" si="127"/>
        <v>3.0721075837279566E-2</v>
      </c>
      <c r="AZ15" s="48">
        <f t="shared" si="128"/>
        <v>216137.39679658317</v>
      </c>
      <c r="BA15" s="75">
        <f t="shared" si="129"/>
        <v>0</v>
      </c>
      <c r="BB15" s="71" t="s">
        <v>8</v>
      </c>
      <c r="BC15" s="27" t="s">
        <v>8</v>
      </c>
      <c r="BD15" s="32">
        <f t="shared" si="130"/>
        <v>0.62899604496840134</v>
      </c>
      <c r="BE15" s="30">
        <f t="shared" si="131"/>
        <v>3.0721075837279566E-2</v>
      </c>
      <c r="BF15" s="48">
        <f t="shared" si="132"/>
        <v>216137.39679658317</v>
      </c>
      <c r="BG15" s="75">
        <f t="shared" si="133"/>
        <v>0</v>
      </c>
      <c r="BH15" s="71" t="s">
        <v>8</v>
      </c>
      <c r="BI15" s="27" t="s">
        <v>8</v>
      </c>
      <c r="BJ15" s="32">
        <f t="shared" si="134"/>
        <v>0.62899604496840134</v>
      </c>
      <c r="BK15" s="30">
        <f t="shared" si="135"/>
        <v>3.0721075837279566E-2</v>
      </c>
      <c r="BL15" s="48">
        <f t="shared" si="136"/>
        <v>216137.39679658317</v>
      </c>
      <c r="BM15" s="75">
        <f t="shared" si="137"/>
        <v>0</v>
      </c>
      <c r="BN15" s="71" t="s">
        <v>8</v>
      </c>
      <c r="BO15" s="27" t="s">
        <v>8</v>
      </c>
      <c r="BP15" s="32">
        <f t="shared" si="138"/>
        <v>0.62899604496840134</v>
      </c>
      <c r="BQ15" s="30">
        <f t="shared" si="139"/>
        <v>3.0721075837279566E-2</v>
      </c>
      <c r="BR15" s="48">
        <f t="shared" si="140"/>
        <v>216137.39679658317</v>
      </c>
      <c r="BS15" s="115">
        <f t="shared" si="141"/>
        <v>0</v>
      </c>
      <c r="BT15" s="71" t="s">
        <v>8</v>
      </c>
      <c r="BU15" s="27" t="s">
        <v>8</v>
      </c>
      <c r="BV15" s="32">
        <f t="shared" si="142"/>
        <v>0.62899604496840134</v>
      </c>
      <c r="BW15" s="30">
        <f t="shared" si="143"/>
        <v>3.0721075837279566E-2</v>
      </c>
      <c r="BX15" s="48">
        <f t="shared" si="144"/>
        <v>216137.39679658317</v>
      </c>
      <c r="BY15" s="115">
        <f t="shared" si="145"/>
        <v>0</v>
      </c>
      <c r="BZ15" s="71" t="s">
        <v>8</v>
      </c>
      <c r="CA15" s="27" t="s">
        <v>8</v>
      </c>
      <c r="CB15" s="32">
        <f t="shared" si="146"/>
        <v>0.62899604496840134</v>
      </c>
      <c r="CC15" s="30">
        <f t="shared" si="147"/>
        <v>3.0721075837279566E-2</v>
      </c>
      <c r="CD15" s="48">
        <f t="shared" si="148"/>
        <v>216137.39679658317</v>
      </c>
      <c r="CE15" s="115">
        <f t="shared" si="149"/>
        <v>0</v>
      </c>
      <c r="CF15" s="71" t="s">
        <v>8</v>
      </c>
      <c r="CG15" s="27" t="s">
        <v>8</v>
      </c>
      <c r="CH15" s="32">
        <f t="shared" si="150"/>
        <v>0.62899604496840134</v>
      </c>
      <c r="CI15" s="30">
        <f t="shared" si="151"/>
        <v>3.0721075837279566E-2</v>
      </c>
      <c r="CJ15" s="48">
        <f t="shared" si="152"/>
        <v>216137.39679658317</v>
      </c>
      <c r="CK15" s="115">
        <f t="shared" si="153"/>
        <v>0</v>
      </c>
      <c r="CL15" s="71" t="s">
        <v>8</v>
      </c>
      <c r="CM15" s="27" t="s">
        <v>8</v>
      </c>
      <c r="CN15" s="32">
        <f t="shared" si="154"/>
        <v>0.62899604496840134</v>
      </c>
      <c r="CO15" s="30">
        <f t="shared" si="155"/>
        <v>3.0721075837279566E-2</v>
      </c>
      <c r="CP15" s="48">
        <f t="shared" si="156"/>
        <v>216137.39679658317</v>
      </c>
      <c r="CQ15" s="115">
        <f t="shared" si="157"/>
        <v>0</v>
      </c>
      <c r="CR15" s="71" t="s">
        <v>8</v>
      </c>
      <c r="CS15" s="27" t="s">
        <v>8</v>
      </c>
      <c r="CT15" s="32">
        <f t="shared" si="158"/>
        <v>0.62899604496840134</v>
      </c>
      <c r="CU15" s="30">
        <f t="shared" si="159"/>
        <v>3.0721075837279566E-2</v>
      </c>
      <c r="CV15" s="48">
        <f t="shared" si="160"/>
        <v>216137.39679658317</v>
      </c>
      <c r="CW15" s="115">
        <f t="shared" si="161"/>
        <v>0</v>
      </c>
      <c r="CX15" s="71" t="s">
        <v>8</v>
      </c>
      <c r="CY15" s="27" t="s">
        <v>8</v>
      </c>
      <c r="CZ15" s="32">
        <f t="shared" si="162"/>
        <v>0.62899604496840134</v>
      </c>
      <c r="DA15" s="30">
        <f t="shared" si="163"/>
        <v>3.0721075837279566E-2</v>
      </c>
      <c r="DB15" s="48">
        <f t="shared" si="164"/>
        <v>216137.39679658317</v>
      </c>
      <c r="DC15" s="115">
        <f t="shared" si="165"/>
        <v>0</v>
      </c>
      <c r="DD15" s="71" t="s">
        <v>8</v>
      </c>
      <c r="DE15" s="27" t="s">
        <v>8</v>
      </c>
      <c r="DF15" s="32">
        <f t="shared" si="166"/>
        <v>0.62899604496840134</v>
      </c>
      <c r="DG15" s="30">
        <f t="shared" si="167"/>
        <v>3.0721075837279566E-2</v>
      </c>
      <c r="DH15" s="48">
        <f t="shared" si="168"/>
        <v>216137.39679658317</v>
      </c>
      <c r="DI15" s="115">
        <f t="shared" si="169"/>
        <v>0</v>
      </c>
      <c r="DJ15" s="71" t="s">
        <v>8</v>
      </c>
      <c r="DK15" s="27" t="s">
        <v>8</v>
      </c>
      <c r="DL15" s="32">
        <f t="shared" si="170"/>
        <v>0.62899604496840134</v>
      </c>
      <c r="DM15" s="30">
        <f t="shared" si="171"/>
        <v>3.0721075837279566E-2</v>
      </c>
      <c r="DN15" s="48">
        <f t="shared" si="172"/>
        <v>216137.39679658317</v>
      </c>
      <c r="DO15" s="115">
        <f t="shared" si="173"/>
        <v>0</v>
      </c>
      <c r="DP15" s="71" t="s">
        <v>8</v>
      </c>
      <c r="DQ15" s="27" t="s">
        <v>8</v>
      </c>
      <c r="DR15" s="32">
        <f t="shared" si="174"/>
        <v>0.62899604496840134</v>
      </c>
      <c r="DS15" s="30">
        <f t="shared" si="175"/>
        <v>3.0721075837279566E-2</v>
      </c>
      <c r="DT15" s="48">
        <f t="shared" si="176"/>
        <v>216137.39679658317</v>
      </c>
      <c r="DU15" s="115">
        <f t="shared" si="177"/>
        <v>0</v>
      </c>
      <c r="DV15" s="71" t="s">
        <v>8</v>
      </c>
      <c r="DW15" s="27" t="s">
        <v>8</v>
      </c>
      <c r="DX15" s="32">
        <f t="shared" si="178"/>
        <v>0.62899604496840134</v>
      </c>
      <c r="DY15" s="30">
        <f t="shared" si="179"/>
        <v>3.0721075837279566E-2</v>
      </c>
      <c r="DZ15" s="31">
        <f t="shared" si="180"/>
        <v>216137.39679658317</v>
      </c>
      <c r="EA15" s="75">
        <f t="shared" si="181"/>
        <v>0</v>
      </c>
      <c r="EB15" s="71" t="s">
        <v>8</v>
      </c>
      <c r="EC15" s="27" t="s">
        <v>8</v>
      </c>
      <c r="ED15" s="32">
        <f t="shared" si="182"/>
        <v>0.62899604496840134</v>
      </c>
      <c r="EE15" s="30">
        <f t="shared" si="183"/>
        <v>3.0721075837279566E-2</v>
      </c>
      <c r="EF15" s="31">
        <f t="shared" si="184"/>
        <v>216137.39679658317</v>
      </c>
      <c r="EG15" s="75">
        <f t="shared" si="185"/>
        <v>0</v>
      </c>
      <c r="EH15" s="71" t="s">
        <v>8</v>
      </c>
      <c r="EI15" s="27" t="s">
        <v>8</v>
      </c>
      <c r="EJ15" s="32">
        <f t="shared" si="186"/>
        <v>0.62899604496840134</v>
      </c>
      <c r="EK15" s="30">
        <f t="shared" si="187"/>
        <v>3.0721075837279566E-2</v>
      </c>
      <c r="EL15" s="31">
        <f t="shared" si="188"/>
        <v>216137.39679658317</v>
      </c>
      <c r="EM15" s="75">
        <f t="shared" si="189"/>
        <v>0</v>
      </c>
      <c r="EN15" s="71" t="s">
        <v>8</v>
      </c>
      <c r="EO15" s="27" t="s">
        <v>8</v>
      </c>
      <c r="EP15" s="32">
        <f t="shared" si="190"/>
        <v>0.62899604496840134</v>
      </c>
      <c r="EQ15" s="30">
        <f t="shared" si="191"/>
        <v>3.0721075837279566E-2</v>
      </c>
      <c r="ER15" s="31">
        <f t="shared" si="192"/>
        <v>216137.39679658317</v>
      </c>
      <c r="ES15" s="75">
        <f t="shared" si="193"/>
        <v>0</v>
      </c>
      <c r="ET15" s="71" t="s">
        <v>8</v>
      </c>
      <c r="EU15" s="27" t="s">
        <v>8</v>
      </c>
      <c r="EV15" s="32">
        <f t="shared" si="194"/>
        <v>0.62899604496840134</v>
      </c>
      <c r="EW15" s="30">
        <f t="shared" si="195"/>
        <v>3.0721075837279566E-2</v>
      </c>
      <c r="EX15" s="31">
        <f t="shared" si="196"/>
        <v>216137.39679658317</v>
      </c>
      <c r="EY15" s="75">
        <f t="shared" si="197"/>
        <v>0</v>
      </c>
      <c r="EZ15" s="71" t="s">
        <v>8</v>
      </c>
      <c r="FA15" s="27" t="s">
        <v>8</v>
      </c>
      <c r="FB15" s="32">
        <f t="shared" si="198"/>
        <v>0.62899604496840134</v>
      </c>
      <c r="FC15" s="30">
        <f t="shared" si="199"/>
        <v>3.0721075837279566E-2</v>
      </c>
      <c r="FD15" s="31">
        <f t="shared" si="200"/>
        <v>216137.39679658317</v>
      </c>
      <c r="FE15" s="75">
        <f t="shared" si="201"/>
        <v>0</v>
      </c>
      <c r="FF15" s="71" t="s">
        <v>8</v>
      </c>
      <c r="FG15" s="27" t="s">
        <v>8</v>
      </c>
      <c r="FH15" s="32">
        <f t="shared" si="202"/>
        <v>0.62899604496840134</v>
      </c>
      <c r="FI15" s="30">
        <f t="shared" si="203"/>
        <v>3.0721075837279566E-2</v>
      </c>
      <c r="FJ15" s="31">
        <f t="shared" si="204"/>
        <v>216137.39679658317</v>
      </c>
      <c r="FK15" s="75">
        <f t="shared" si="205"/>
        <v>0</v>
      </c>
      <c r="FL15" s="71" t="s">
        <v>8</v>
      </c>
      <c r="FM15" s="27" t="s">
        <v>8</v>
      </c>
      <c r="FN15" s="32">
        <f t="shared" si="206"/>
        <v>0.62899604496840134</v>
      </c>
      <c r="FO15" s="30">
        <f t="shared" si="207"/>
        <v>3.0721075837279566E-2</v>
      </c>
      <c r="FP15" s="31">
        <f t="shared" si="208"/>
        <v>216137.39679658317</v>
      </c>
      <c r="FQ15" s="75">
        <f t="shared" si="209"/>
        <v>0</v>
      </c>
      <c r="FR15" s="71" t="s">
        <v>8</v>
      </c>
      <c r="FS15" s="27" t="s">
        <v>8</v>
      </c>
      <c r="FT15" s="32">
        <f t="shared" si="210"/>
        <v>0.62899604496840134</v>
      </c>
      <c r="FU15" s="30">
        <f t="shared" si="211"/>
        <v>3.0721075837279566E-2</v>
      </c>
      <c r="FV15" s="31">
        <f t="shared" si="212"/>
        <v>216137.39679658317</v>
      </c>
      <c r="FW15" s="75">
        <f t="shared" si="213"/>
        <v>0</v>
      </c>
      <c r="FX15" s="71" t="s">
        <v>8</v>
      </c>
      <c r="FY15" s="27" t="s">
        <v>8</v>
      </c>
      <c r="FZ15" s="32">
        <f t="shared" si="214"/>
        <v>0.62899604496840134</v>
      </c>
      <c r="GA15" s="30">
        <f t="shared" si="215"/>
        <v>3.0721075837279566E-2</v>
      </c>
      <c r="GB15" s="31">
        <f t="shared" si="216"/>
        <v>216137.39679658317</v>
      </c>
      <c r="GC15" s="75">
        <f t="shared" si="217"/>
        <v>0</v>
      </c>
      <c r="GD15" s="71" t="s">
        <v>8</v>
      </c>
      <c r="GE15" s="27" t="s">
        <v>8</v>
      </c>
      <c r="GF15" s="32">
        <f t="shared" si="218"/>
        <v>0.62899604496840134</v>
      </c>
      <c r="GG15" s="30">
        <f t="shared" si="219"/>
        <v>3.0721075837279566E-2</v>
      </c>
      <c r="GH15" s="31">
        <f t="shared" si="220"/>
        <v>216137.39679658317</v>
      </c>
      <c r="GI15" s="115">
        <f t="shared" si="221"/>
        <v>0</v>
      </c>
      <c r="GJ15" s="139">
        <f t="shared" si="227"/>
        <v>1220540.5094316646</v>
      </c>
      <c r="GK15" s="254">
        <f>L15+GJ15</f>
        <v>1275175.8231148403</v>
      </c>
      <c r="GL15" s="196">
        <f t="shared" si="228"/>
        <v>0.62899604496840134</v>
      </c>
      <c r="GM15" s="237">
        <v>1268181.6399999999</v>
      </c>
      <c r="GN15" s="244"/>
    </row>
    <row r="16" spans="1:196" s="22" customFormat="1" x14ac:dyDescent="0.25">
      <c r="A16" s="227" t="s">
        <v>180</v>
      </c>
      <c r="B16" s="130" t="s">
        <v>8</v>
      </c>
      <c r="C16" s="130" t="s">
        <v>8</v>
      </c>
      <c r="D16" s="130" t="s">
        <v>8</v>
      </c>
      <c r="E16" s="130" t="s">
        <v>8</v>
      </c>
      <c r="F16" s="130" t="s">
        <v>8</v>
      </c>
      <c r="G16" s="95">
        <f>'Исходные данные'!C18</f>
        <v>292</v>
      </c>
      <c r="H16" s="28">
        <f>'Исходные данные'!D18</f>
        <v>227355</v>
      </c>
      <c r="I16" s="29">
        <f>'Расчет КРП'!G14</f>
        <v>9.8008161850285056</v>
      </c>
      <c r="J16" s="102" t="s">
        <v>8</v>
      </c>
      <c r="K16" s="228">
        <f t="shared" si="104"/>
        <v>9.187723120112147E-2</v>
      </c>
      <c r="L16" s="229">
        <f t="shared" si="223"/>
        <v>47908.443229691533</v>
      </c>
      <c r="M16" s="68">
        <f t="shared" si="224"/>
        <v>0.1112376812246537</v>
      </c>
      <c r="N16" s="27" t="s">
        <v>8</v>
      </c>
      <c r="O16" s="30">
        <f t="shared" si="225"/>
        <v>9.0704927432484025E-2</v>
      </c>
      <c r="P16" s="31">
        <f t="shared" si="105"/>
        <v>267043.83223919052</v>
      </c>
      <c r="Q16" s="75">
        <f t="shared" si="226"/>
        <v>267043.83223919052</v>
      </c>
      <c r="R16" s="134" t="s">
        <v>8</v>
      </c>
      <c r="S16" s="27" t="s">
        <v>8</v>
      </c>
      <c r="T16" s="32">
        <f t="shared" si="106"/>
        <v>0.2191537064516054</v>
      </c>
      <c r="U16" s="30">
        <f t="shared" si="107"/>
        <v>8.9660862155826665E-2</v>
      </c>
      <c r="V16" s="48">
        <f t="shared" si="108"/>
        <v>346215.1251821575</v>
      </c>
      <c r="W16" s="75">
        <f t="shared" si="109"/>
        <v>346215.1251821575</v>
      </c>
      <c r="X16" s="71" t="s">
        <v>8</v>
      </c>
      <c r="Y16" s="27" t="s">
        <v>8</v>
      </c>
      <c r="Z16" s="32">
        <f t="shared" si="110"/>
        <v>0.35906392220092387</v>
      </c>
      <c r="AA16" s="30">
        <f t="shared" si="111"/>
        <v>6.2126185539778667E-2</v>
      </c>
      <c r="AB16" s="48">
        <f t="shared" si="112"/>
        <v>306509.08581065712</v>
      </c>
      <c r="AC16" s="75">
        <f t="shared" si="113"/>
        <v>306509.08581065712</v>
      </c>
      <c r="AD16" s="71" t="s">
        <v>8</v>
      </c>
      <c r="AE16" s="27" t="s">
        <v>8</v>
      </c>
      <c r="AF16" s="32">
        <f t="shared" si="114"/>
        <v>0.48292839028946438</v>
      </c>
      <c r="AG16" s="30">
        <f t="shared" si="115"/>
        <v>4.4501262210755843E-2</v>
      </c>
      <c r="AH16" s="48">
        <f t="shared" si="116"/>
        <v>263141.07925534918</v>
      </c>
      <c r="AI16" s="75">
        <f t="shared" si="117"/>
        <v>263141.07925534918</v>
      </c>
      <c r="AJ16" s="71" t="s">
        <v>8</v>
      </c>
      <c r="AK16" s="27" t="s">
        <v>8</v>
      </c>
      <c r="AL16" s="32">
        <f t="shared" si="118"/>
        <v>0.58926726023847087</v>
      </c>
      <c r="AM16" s="30">
        <f t="shared" si="119"/>
        <v>3.2265709463821013E-2</v>
      </c>
      <c r="AN16" s="48">
        <f t="shared" si="120"/>
        <v>232652.98840660101</v>
      </c>
      <c r="AO16" s="75">
        <f t="shared" si="121"/>
        <v>96666.092417569962</v>
      </c>
      <c r="AP16" s="71" t="s">
        <v>8</v>
      </c>
      <c r="AQ16" s="27" t="s">
        <v>8</v>
      </c>
      <c r="AR16" s="32">
        <f t="shared" si="122"/>
        <v>0.62833133590145629</v>
      </c>
      <c r="AS16" s="30">
        <f t="shared" si="123"/>
        <v>3.1385784904224612E-2</v>
      </c>
      <c r="AT16" s="48">
        <f t="shared" si="124"/>
        <v>241409.53235667342</v>
      </c>
      <c r="AU16" s="75">
        <f t="shared" si="125"/>
        <v>0</v>
      </c>
      <c r="AV16" s="71" t="s">
        <v>8</v>
      </c>
      <c r="AW16" s="27" t="s">
        <v>8</v>
      </c>
      <c r="AX16" s="32">
        <f t="shared" si="126"/>
        <v>0.62833133590145629</v>
      </c>
      <c r="AY16" s="30">
        <f t="shared" si="127"/>
        <v>3.1385784904224612E-2</v>
      </c>
      <c r="AZ16" s="48">
        <f t="shared" si="128"/>
        <v>241409.53235667342</v>
      </c>
      <c r="BA16" s="75">
        <f t="shared" si="129"/>
        <v>0</v>
      </c>
      <c r="BB16" s="71" t="s">
        <v>8</v>
      </c>
      <c r="BC16" s="27" t="s">
        <v>8</v>
      </c>
      <c r="BD16" s="32">
        <f t="shared" si="130"/>
        <v>0.62833133590145629</v>
      </c>
      <c r="BE16" s="30">
        <f t="shared" si="131"/>
        <v>3.1385784904224612E-2</v>
      </c>
      <c r="BF16" s="48">
        <f t="shared" si="132"/>
        <v>241409.53235667342</v>
      </c>
      <c r="BG16" s="75">
        <f t="shared" si="133"/>
        <v>0</v>
      </c>
      <c r="BH16" s="71" t="s">
        <v>8</v>
      </c>
      <c r="BI16" s="27" t="s">
        <v>8</v>
      </c>
      <c r="BJ16" s="32">
        <f t="shared" si="134"/>
        <v>0.62833133590145629</v>
      </c>
      <c r="BK16" s="30">
        <f t="shared" si="135"/>
        <v>3.1385784904224612E-2</v>
      </c>
      <c r="BL16" s="48">
        <f t="shared" si="136"/>
        <v>241409.53235667342</v>
      </c>
      <c r="BM16" s="75">
        <f t="shared" si="137"/>
        <v>0</v>
      </c>
      <c r="BN16" s="71" t="s">
        <v>8</v>
      </c>
      <c r="BO16" s="27" t="s">
        <v>8</v>
      </c>
      <c r="BP16" s="32">
        <f t="shared" si="138"/>
        <v>0.62833133590145629</v>
      </c>
      <c r="BQ16" s="30">
        <f t="shared" si="139"/>
        <v>3.1385784904224612E-2</v>
      </c>
      <c r="BR16" s="48">
        <f t="shared" si="140"/>
        <v>241409.53235667342</v>
      </c>
      <c r="BS16" s="115">
        <f t="shared" si="141"/>
        <v>0</v>
      </c>
      <c r="BT16" s="71" t="s">
        <v>8</v>
      </c>
      <c r="BU16" s="27" t="s">
        <v>8</v>
      </c>
      <c r="BV16" s="32">
        <f t="shared" si="142"/>
        <v>0.62833133590145629</v>
      </c>
      <c r="BW16" s="30">
        <f t="shared" si="143"/>
        <v>3.1385784904224612E-2</v>
      </c>
      <c r="BX16" s="48">
        <f t="shared" si="144"/>
        <v>241409.53235667342</v>
      </c>
      <c r="BY16" s="115">
        <f t="shared" si="145"/>
        <v>0</v>
      </c>
      <c r="BZ16" s="71" t="s">
        <v>8</v>
      </c>
      <c r="CA16" s="27" t="s">
        <v>8</v>
      </c>
      <c r="CB16" s="32">
        <f t="shared" si="146"/>
        <v>0.62833133590145629</v>
      </c>
      <c r="CC16" s="30">
        <f t="shared" si="147"/>
        <v>3.1385784904224612E-2</v>
      </c>
      <c r="CD16" s="48">
        <f t="shared" si="148"/>
        <v>241409.53235667342</v>
      </c>
      <c r="CE16" s="115">
        <f t="shared" si="149"/>
        <v>0</v>
      </c>
      <c r="CF16" s="71" t="s">
        <v>8</v>
      </c>
      <c r="CG16" s="27" t="s">
        <v>8</v>
      </c>
      <c r="CH16" s="32">
        <f t="shared" si="150"/>
        <v>0.62833133590145629</v>
      </c>
      <c r="CI16" s="30">
        <f t="shared" si="151"/>
        <v>3.1385784904224612E-2</v>
      </c>
      <c r="CJ16" s="48">
        <f t="shared" si="152"/>
        <v>241409.53235667342</v>
      </c>
      <c r="CK16" s="115">
        <f t="shared" si="153"/>
        <v>0</v>
      </c>
      <c r="CL16" s="71" t="s">
        <v>8</v>
      </c>
      <c r="CM16" s="27" t="s">
        <v>8</v>
      </c>
      <c r="CN16" s="32">
        <f t="shared" si="154"/>
        <v>0.62833133590145629</v>
      </c>
      <c r="CO16" s="30">
        <f t="shared" si="155"/>
        <v>3.1385784904224612E-2</v>
      </c>
      <c r="CP16" s="48">
        <f t="shared" si="156"/>
        <v>241409.53235667342</v>
      </c>
      <c r="CQ16" s="115">
        <f t="shared" si="157"/>
        <v>0</v>
      </c>
      <c r="CR16" s="71" t="s">
        <v>8</v>
      </c>
      <c r="CS16" s="27" t="s">
        <v>8</v>
      </c>
      <c r="CT16" s="32">
        <f t="shared" si="158"/>
        <v>0.62833133590145629</v>
      </c>
      <c r="CU16" s="30">
        <f t="shared" si="159"/>
        <v>3.1385784904224612E-2</v>
      </c>
      <c r="CV16" s="48">
        <f t="shared" si="160"/>
        <v>241409.53235667342</v>
      </c>
      <c r="CW16" s="115">
        <f t="shared" si="161"/>
        <v>0</v>
      </c>
      <c r="CX16" s="71" t="s">
        <v>8</v>
      </c>
      <c r="CY16" s="27" t="s">
        <v>8</v>
      </c>
      <c r="CZ16" s="32">
        <f t="shared" si="162"/>
        <v>0.62833133590145629</v>
      </c>
      <c r="DA16" s="30">
        <f t="shared" si="163"/>
        <v>3.1385784904224612E-2</v>
      </c>
      <c r="DB16" s="48">
        <f t="shared" si="164"/>
        <v>241409.53235667342</v>
      </c>
      <c r="DC16" s="115">
        <f t="shared" si="165"/>
        <v>0</v>
      </c>
      <c r="DD16" s="71" t="s">
        <v>8</v>
      </c>
      <c r="DE16" s="27" t="s">
        <v>8</v>
      </c>
      <c r="DF16" s="32">
        <f t="shared" si="166"/>
        <v>0.62833133590145629</v>
      </c>
      <c r="DG16" s="30">
        <f t="shared" si="167"/>
        <v>3.1385784904224612E-2</v>
      </c>
      <c r="DH16" s="48">
        <f t="shared" si="168"/>
        <v>241409.53235667342</v>
      </c>
      <c r="DI16" s="115">
        <f t="shared" si="169"/>
        <v>0</v>
      </c>
      <c r="DJ16" s="71" t="s">
        <v>8</v>
      </c>
      <c r="DK16" s="27" t="s">
        <v>8</v>
      </c>
      <c r="DL16" s="32">
        <f t="shared" si="170"/>
        <v>0.62833133590145629</v>
      </c>
      <c r="DM16" s="30">
        <f t="shared" si="171"/>
        <v>3.1385784904224612E-2</v>
      </c>
      <c r="DN16" s="48">
        <f t="shared" si="172"/>
        <v>241409.53235667342</v>
      </c>
      <c r="DO16" s="115">
        <f t="shared" si="173"/>
        <v>0</v>
      </c>
      <c r="DP16" s="71" t="s">
        <v>8</v>
      </c>
      <c r="DQ16" s="27" t="s">
        <v>8</v>
      </c>
      <c r="DR16" s="32">
        <f t="shared" si="174"/>
        <v>0.62833133590145629</v>
      </c>
      <c r="DS16" s="30">
        <f t="shared" si="175"/>
        <v>3.1385784904224612E-2</v>
      </c>
      <c r="DT16" s="48">
        <f t="shared" si="176"/>
        <v>241409.53235667342</v>
      </c>
      <c r="DU16" s="115">
        <f t="shared" si="177"/>
        <v>0</v>
      </c>
      <c r="DV16" s="71" t="s">
        <v>8</v>
      </c>
      <c r="DW16" s="27" t="s">
        <v>8</v>
      </c>
      <c r="DX16" s="32">
        <f t="shared" si="178"/>
        <v>0.62833133590145629</v>
      </c>
      <c r="DY16" s="30">
        <f t="shared" si="179"/>
        <v>3.1385784904224612E-2</v>
      </c>
      <c r="DZ16" s="31">
        <f t="shared" si="180"/>
        <v>241409.53235667342</v>
      </c>
      <c r="EA16" s="75">
        <f t="shared" si="181"/>
        <v>0</v>
      </c>
      <c r="EB16" s="71" t="s">
        <v>8</v>
      </c>
      <c r="EC16" s="27" t="s">
        <v>8</v>
      </c>
      <c r="ED16" s="32">
        <f t="shared" si="182"/>
        <v>0.62833133590145629</v>
      </c>
      <c r="EE16" s="30">
        <f t="shared" si="183"/>
        <v>3.1385784904224612E-2</v>
      </c>
      <c r="EF16" s="31">
        <f t="shared" si="184"/>
        <v>241409.53235667342</v>
      </c>
      <c r="EG16" s="75">
        <f t="shared" si="185"/>
        <v>0</v>
      </c>
      <c r="EH16" s="71" t="s">
        <v>8</v>
      </c>
      <c r="EI16" s="27" t="s">
        <v>8</v>
      </c>
      <c r="EJ16" s="32">
        <f t="shared" si="186"/>
        <v>0.62833133590145629</v>
      </c>
      <c r="EK16" s="30">
        <f t="shared" si="187"/>
        <v>3.1385784904224612E-2</v>
      </c>
      <c r="EL16" s="31">
        <f t="shared" si="188"/>
        <v>241409.53235667342</v>
      </c>
      <c r="EM16" s="75">
        <f t="shared" si="189"/>
        <v>0</v>
      </c>
      <c r="EN16" s="71" t="s">
        <v>8</v>
      </c>
      <c r="EO16" s="27" t="s">
        <v>8</v>
      </c>
      <c r="EP16" s="32">
        <f t="shared" si="190"/>
        <v>0.62833133590145629</v>
      </c>
      <c r="EQ16" s="30">
        <f t="shared" si="191"/>
        <v>3.1385784904224612E-2</v>
      </c>
      <c r="ER16" s="31">
        <f t="shared" si="192"/>
        <v>241409.53235667342</v>
      </c>
      <c r="ES16" s="75">
        <f t="shared" si="193"/>
        <v>0</v>
      </c>
      <c r="ET16" s="71" t="s">
        <v>8</v>
      </c>
      <c r="EU16" s="27" t="s">
        <v>8</v>
      </c>
      <c r="EV16" s="32">
        <f t="shared" si="194"/>
        <v>0.62833133590145629</v>
      </c>
      <c r="EW16" s="30">
        <f t="shared" si="195"/>
        <v>3.1385784904224612E-2</v>
      </c>
      <c r="EX16" s="31">
        <f t="shared" si="196"/>
        <v>241409.53235667342</v>
      </c>
      <c r="EY16" s="75">
        <f t="shared" si="197"/>
        <v>0</v>
      </c>
      <c r="EZ16" s="71" t="s">
        <v>8</v>
      </c>
      <c r="FA16" s="27" t="s">
        <v>8</v>
      </c>
      <c r="FB16" s="32">
        <f t="shared" si="198"/>
        <v>0.62833133590145629</v>
      </c>
      <c r="FC16" s="30">
        <f t="shared" si="199"/>
        <v>3.1385784904224612E-2</v>
      </c>
      <c r="FD16" s="31">
        <f t="shared" si="200"/>
        <v>241409.53235667342</v>
      </c>
      <c r="FE16" s="75">
        <f t="shared" si="201"/>
        <v>0</v>
      </c>
      <c r="FF16" s="71" t="s">
        <v>8</v>
      </c>
      <c r="FG16" s="27" t="s">
        <v>8</v>
      </c>
      <c r="FH16" s="32">
        <f t="shared" si="202"/>
        <v>0.62833133590145629</v>
      </c>
      <c r="FI16" s="30">
        <f t="shared" si="203"/>
        <v>3.1385784904224612E-2</v>
      </c>
      <c r="FJ16" s="31">
        <f t="shared" si="204"/>
        <v>241409.53235667342</v>
      </c>
      <c r="FK16" s="75">
        <f t="shared" si="205"/>
        <v>0</v>
      </c>
      <c r="FL16" s="71" t="s">
        <v>8</v>
      </c>
      <c r="FM16" s="27" t="s">
        <v>8</v>
      </c>
      <c r="FN16" s="32">
        <f t="shared" si="206"/>
        <v>0.62833133590145629</v>
      </c>
      <c r="FO16" s="30">
        <f t="shared" si="207"/>
        <v>3.1385784904224612E-2</v>
      </c>
      <c r="FP16" s="31">
        <f t="shared" si="208"/>
        <v>241409.53235667342</v>
      </c>
      <c r="FQ16" s="75">
        <f t="shared" si="209"/>
        <v>0</v>
      </c>
      <c r="FR16" s="71" t="s">
        <v>8</v>
      </c>
      <c r="FS16" s="27" t="s">
        <v>8</v>
      </c>
      <c r="FT16" s="32">
        <f t="shared" si="210"/>
        <v>0.62833133590145629</v>
      </c>
      <c r="FU16" s="30">
        <f t="shared" si="211"/>
        <v>3.1385784904224612E-2</v>
      </c>
      <c r="FV16" s="31">
        <f t="shared" si="212"/>
        <v>241409.53235667342</v>
      </c>
      <c r="FW16" s="75">
        <f t="shared" si="213"/>
        <v>0</v>
      </c>
      <c r="FX16" s="71" t="s">
        <v>8</v>
      </c>
      <c r="FY16" s="27" t="s">
        <v>8</v>
      </c>
      <c r="FZ16" s="32">
        <f t="shared" si="214"/>
        <v>0.62833133590145629</v>
      </c>
      <c r="GA16" s="30">
        <f t="shared" si="215"/>
        <v>3.1385784904224612E-2</v>
      </c>
      <c r="GB16" s="31">
        <f t="shared" si="216"/>
        <v>241409.53235667342</v>
      </c>
      <c r="GC16" s="75">
        <f t="shared" si="217"/>
        <v>0</v>
      </c>
      <c r="GD16" s="71" t="s">
        <v>8</v>
      </c>
      <c r="GE16" s="27" t="s">
        <v>8</v>
      </c>
      <c r="GF16" s="32">
        <f t="shared" si="218"/>
        <v>0.62833133590145629</v>
      </c>
      <c r="GG16" s="30">
        <f t="shared" si="219"/>
        <v>3.1385784904224612E-2</v>
      </c>
      <c r="GH16" s="31">
        <f t="shared" si="220"/>
        <v>241409.53235667342</v>
      </c>
      <c r="GI16" s="115">
        <f t="shared" si="221"/>
        <v>0</v>
      </c>
      <c r="GJ16" s="139">
        <f t="shared" si="227"/>
        <v>1279575.2149049244</v>
      </c>
      <c r="GK16" s="254">
        <f t="shared" si="222"/>
        <v>1327483.658134616</v>
      </c>
      <c r="GL16" s="196">
        <f t="shared" si="228"/>
        <v>0.62833133590145618</v>
      </c>
      <c r="GM16" s="237">
        <v>1322170.24</v>
      </c>
      <c r="GN16" s="244"/>
    </row>
    <row r="17" spans="1:197" s="22" customFormat="1" x14ac:dyDescent="0.25">
      <c r="A17" s="111" t="s">
        <v>181</v>
      </c>
      <c r="B17" s="130" t="s">
        <v>8</v>
      </c>
      <c r="C17" s="130" t="s">
        <v>8</v>
      </c>
      <c r="D17" s="130" t="s">
        <v>8</v>
      </c>
      <c r="E17" s="130" t="s">
        <v>8</v>
      </c>
      <c r="F17" s="130" t="s">
        <v>8</v>
      </c>
      <c r="G17" s="95">
        <f>'Исходные данные'!C19</f>
        <v>40</v>
      </c>
      <c r="H17" s="28">
        <f>'Исходные данные'!D19</f>
        <v>33252</v>
      </c>
      <c r="I17" s="29">
        <f>'Расчет КРП'!G15</f>
        <v>30.639215322227589</v>
      </c>
      <c r="J17" s="102" t="s">
        <v>8</v>
      </c>
      <c r="K17" s="106">
        <f t="shared" si="104"/>
        <v>3.1378243328537413E-2</v>
      </c>
      <c r="L17" s="72">
        <f t="shared" si="223"/>
        <v>6562.8004424234969</v>
      </c>
      <c r="M17" s="68">
        <f t="shared" si="224"/>
        <v>3.7571228688786353E-2</v>
      </c>
      <c r="N17" s="27" t="s">
        <v>8</v>
      </c>
      <c r="O17" s="30">
        <f t="shared" si="225"/>
        <v>0.16437137996835138</v>
      </c>
      <c r="P17" s="31">
        <f t="shared" si="105"/>
        <v>207238.48433631341</v>
      </c>
      <c r="Q17" s="75">
        <f t="shared" si="226"/>
        <v>207238.48433631341</v>
      </c>
      <c r="R17" s="134" t="s">
        <v>8</v>
      </c>
      <c r="S17" s="27" t="s">
        <v>8</v>
      </c>
      <c r="T17" s="32">
        <f t="shared" si="106"/>
        <v>0.23313178410025431</v>
      </c>
      <c r="U17" s="30">
        <f t="shared" si="107"/>
        <v>7.5682784507177747E-2</v>
      </c>
      <c r="V17" s="48">
        <f t="shared" si="108"/>
        <v>125150.55018357388</v>
      </c>
      <c r="W17" s="75">
        <f t="shared" si="109"/>
        <v>125150.55018357388</v>
      </c>
      <c r="X17" s="71" t="s">
        <v>8</v>
      </c>
      <c r="Y17" s="27" t="s">
        <v>8</v>
      </c>
      <c r="Z17" s="32">
        <f t="shared" si="110"/>
        <v>0.35123007642434056</v>
      </c>
      <c r="AA17" s="30">
        <f t="shared" si="111"/>
        <v>6.996003131636197E-2</v>
      </c>
      <c r="AB17" s="48">
        <f t="shared" si="112"/>
        <v>147812.51046876254</v>
      </c>
      <c r="AC17" s="75">
        <f t="shared" si="113"/>
        <v>147812.51046876254</v>
      </c>
      <c r="AD17" s="71" t="s">
        <v>8</v>
      </c>
      <c r="AE17" s="27" t="s">
        <v>8</v>
      </c>
      <c r="AF17" s="32">
        <f t="shared" si="114"/>
        <v>0.49071332316110267</v>
      </c>
      <c r="AG17" s="30">
        <f t="shared" si="115"/>
        <v>3.6716329339117559E-2</v>
      </c>
      <c r="AH17" s="48">
        <f t="shared" si="116"/>
        <v>92975.412451199023</v>
      </c>
      <c r="AI17" s="75">
        <f t="shared" si="117"/>
        <v>92975.412451199023</v>
      </c>
      <c r="AJ17" s="71" t="s">
        <v>8</v>
      </c>
      <c r="AK17" s="27" t="s">
        <v>8</v>
      </c>
      <c r="AL17" s="32">
        <f t="shared" si="118"/>
        <v>0.57844955302591827</v>
      </c>
      <c r="AM17" s="30">
        <f t="shared" si="119"/>
        <v>4.3083416676373609E-2</v>
      </c>
      <c r="AN17" s="48">
        <f t="shared" si="120"/>
        <v>133036.2786821817</v>
      </c>
      <c r="AO17" s="75">
        <f t="shared" si="121"/>
        <v>55275.873729617189</v>
      </c>
      <c r="AP17" s="71" t="s">
        <v>8</v>
      </c>
      <c r="AQ17" s="27" t="s">
        <v>8</v>
      </c>
      <c r="AR17" s="32">
        <f t="shared" si="122"/>
        <v>0.63061062051315031</v>
      </c>
      <c r="AS17" s="30">
        <f t="shared" si="123"/>
        <v>2.910650029253059E-2</v>
      </c>
      <c r="AT17" s="48">
        <f t="shared" si="124"/>
        <v>95874.683904455436</v>
      </c>
      <c r="AU17" s="75">
        <f t="shared" si="125"/>
        <v>0</v>
      </c>
      <c r="AV17" s="71" t="s">
        <v>8</v>
      </c>
      <c r="AW17" s="27" t="s">
        <v>8</v>
      </c>
      <c r="AX17" s="32">
        <f t="shared" si="126"/>
        <v>0.63061062051315031</v>
      </c>
      <c r="AY17" s="30">
        <f t="shared" si="127"/>
        <v>2.910650029253059E-2</v>
      </c>
      <c r="AZ17" s="48">
        <f t="shared" si="128"/>
        <v>95874.683904455436</v>
      </c>
      <c r="BA17" s="75">
        <f t="shared" si="129"/>
        <v>0</v>
      </c>
      <c r="BB17" s="71" t="s">
        <v>8</v>
      </c>
      <c r="BC17" s="27" t="s">
        <v>8</v>
      </c>
      <c r="BD17" s="32">
        <f t="shared" si="130"/>
        <v>0.63061062051315031</v>
      </c>
      <c r="BE17" s="30">
        <f t="shared" si="131"/>
        <v>2.910650029253059E-2</v>
      </c>
      <c r="BF17" s="48">
        <f t="shared" si="132"/>
        <v>95874.683904455436</v>
      </c>
      <c r="BG17" s="75">
        <f t="shared" si="133"/>
        <v>0</v>
      </c>
      <c r="BH17" s="71" t="s">
        <v>8</v>
      </c>
      <c r="BI17" s="27" t="s">
        <v>8</v>
      </c>
      <c r="BJ17" s="32">
        <f t="shared" si="134"/>
        <v>0.63061062051315031</v>
      </c>
      <c r="BK17" s="30">
        <f t="shared" si="135"/>
        <v>2.910650029253059E-2</v>
      </c>
      <c r="BL17" s="48">
        <f t="shared" si="136"/>
        <v>95874.683904455436</v>
      </c>
      <c r="BM17" s="75">
        <f t="shared" si="137"/>
        <v>0</v>
      </c>
      <c r="BN17" s="71" t="s">
        <v>8</v>
      </c>
      <c r="BO17" s="27" t="s">
        <v>8</v>
      </c>
      <c r="BP17" s="32">
        <f t="shared" si="138"/>
        <v>0.63061062051315031</v>
      </c>
      <c r="BQ17" s="30">
        <f t="shared" si="139"/>
        <v>2.910650029253059E-2</v>
      </c>
      <c r="BR17" s="48">
        <f t="shared" si="140"/>
        <v>95874.683904455436</v>
      </c>
      <c r="BS17" s="115">
        <f t="shared" si="141"/>
        <v>0</v>
      </c>
      <c r="BT17" s="71" t="s">
        <v>8</v>
      </c>
      <c r="BU17" s="27" t="s">
        <v>8</v>
      </c>
      <c r="BV17" s="32">
        <f t="shared" si="142"/>
        <v>0.63061062051315031</v>
      </c>
      <c r="BW17" s="30">
        <f t="shared" si="143"/>
        <v>2.910650029253059E-2</v>
      </c>
      <c r="BX17" s="48">
        <f t="shared" si="144"/>
        <v>95874.683904455436</v>
      </c>
      <c r="BY17" s="115">
        <f t="shared" si="145"/>
        <v>0</v>
      </c>
      <c r="BZ17" s="71" t="s">
        <v>8</v>
      </c>
      <c r="CA17" s="27" t="s">
        <v>8</v>
      </c>
      <c r="CB17" s="32">
        <f t="shared" si="146"/>
        <v>0.63061062051315031</v>
      </c>
      <c r="CC17" s="30">
        <f t="shared" si="147"/>
        <v>2.910650029253059E-2</v>
      </c>
      <c r="CD17" s="48">
        <f t="shared" si="148"/>
        <v>95874.683904455436</v>
      </c>
      <c r="CE17" s="115">
        <f t="shared" si="149"/>
        <v>0</v>
      </c>
      <c r="CF17" s="71" t="s">
        <v>8</v>
      </c>
      <c r="CG17" s="27" t="s">
        <v>8</v>
      </c>
      <c r="CH17" s="32">
        <f t="shared" si="150"/>
        <v>0.63061062051315031</v>
      </c>
      <c r="CI17" s="30">
        <f t="shared" si="151"/>
        <v>2.910650029253059E-2</v>
      </c>
      <c r="CJ17" s="48">
        <f t="shared" si="152"/>
        <v>95874.683904455436</v>
      </c>
      <c r="CK17" s="115">
        <f t="shared" si="153"/>
        <v>0</v>
      </c>
      <c r="CL17" s="71" t="s">
        <v>8</v>
      </c>
      <c r="CM17" s="27" t="s">
        <v>8</v>
      </c>
      <c r="CN17" s="32">
        <f t="shared" si="154"/>
        <v>0.63061062051315031</v>
      </c>
      <c r="CO17" s="30">
        <f t="shared" si="155"/>
        <v>2.910650029253059E-2</v>
      </c>
      <c r="CP17" s="48">
        <f t="shared" si="156"/>
        <v>95874.683904455436</v>
      </c>
      <c r="CQ17" s="115">
        <f t="shared" si="157"/>
        <v>0</v>
      </c>
      <c r="CR17" s="71" t="s">
        <v>8</v>
      </c>
      <c r="CS17" s="27" t="s">
        <v>8</v>
      </c>
      <c r="CT17" s="32">
        <f t="shared" si="158"/>
        <v>0.63061062051315031</v>
      </c>
      <c r="CU17" s="30">
        <f t="shared" si="159"/>
        <v>2.910650029253059E-2</v>
      </c>
      <c r="CV17" s="48">
        <f t="shared" si="160"/>
        <v>95874.683904455436</v>
      </c>
      <c r="CW17" s="115">
        <f t="shared" si="161"/>
        <v>0</v>
      </c>
      <c r="CX17" s="71" t="s">
        <v>8</v>
      </c>
      <c r="CY17" s="27" t="s">
        <v>8</v>
      </c>
      <c r="CZ17" s="32">
        <f t="shared" si="162"/>
        <v>0.63061062051315031</v>
      </c>
      <c r="DA17" s="30">
        <f t="shared" si="163"/>
        <v>2.910650029253059E-2</v>
      </c>
      <c r="DB17" s="48">
        <f t="shared" si="164"/>
        <v>95874.683904455436</v>
      </c>
      <c r="DC17" s="115">
        <f t="shared" si="165"/>
        <v>0</v>
      </c>
      <c r="DD17" s="71" t="s">
        <v>8</v>
      </c>
      <c r="DE17" s="27" t="s">
        <v>8</v>
      </c>
      <c r="DF17" s="32">
        <f t="shared" si="166"/>
        <v>0.63061062051315031</v>
      </c>
      <c r="DG17" s="30">
        <f t="shared" si="167"/>
        <v>2.910650029253059E-2</v>
      </c>
      <c r="DH17" s="48">
        <f t="shared" si="168"/>
        <v>95874.683904455436</v>
      </c>
      <c r="DI17" s="115">
        <f t="shared" si="169"/>
        <v>0</v>
      </c>
      <c r="DJ17" s="71" t="s">
        <v>8</v>
      </c>
      <c r="DK17" s="27" t="s">
        <v>8</v>
      </c>
      <c r="DL17" s="32">
        <f t="shared" si="170"/>
        <v>0.63061062051315031</v>
      </c>
      <c r="DM17" s="30">
        <f t="shared" si="171"/>
        <v>2.910650029253059E-2</v>
      </c>
      <c r="DN17" s="48">
        <f t="shared" si="172"/>
        <v>95874.683904455436</v>
      </c>
      <c r="DO17" s="115">
        <f t="shared" si="173"/>
        <v>0</v>
      </c>
      <c r="DP17" s="71" t="s">
        <v>8</v>
      </c>
      <c r="DQ17" s="27" t="s">
        <v>8</v>
      </c>
      <c r="DR17" s="32">
        <f t="shared" si="174"/>
        <v>0.63061062051315031</v>
      </c>
      <c r="DS17" s="30">
        <f t="shared" si="175"/>
        <v>2.910650029253059E-2</v>
      </c>
      <c r="DT17" s="48">
        <f t="shared" si="176"/>
        <v>95874.683904455436</v>
      </c>
      <c r="DU17" s="115">
        <f t="shared" si="177"/>
        <v>0</v>
      </c>
      <c r="DV17" s="71" t="s">
        <v>8</v>
      </c>
      <c r="DW17" s="27" t="s">
        <v>8</v>
      </c>
      <c r="DX17" s="32">
        <f t="shared" si="178"/>
        <v>0.63061062051315031</v>
      </c>
      <c r="DY17" s="30">
        <f t="shared" si="179"/>
        <v>2.910650029253059E-2</v>
      </c>
      <c r="DZ17" s="31">
        <f t="shared" si="180"/>
        <v>95874.683904455436</v>
      </c>
      <c r="EA17" s="75">
        <f t="shared" si="181"/>
        <v>0</v>
      </c>
      <c r="EB17" s="71" t="s">
        <v>8</v>
      </c>
      <c r="EC17" s="27" t="s">
        <v>8</v>
      </c>
      <c r="ED17" s="32">
        <f t="shared" si="182"/>
        <v>0.63061062051315031</v>
      </c>
      <c r="EE17" s="30">
        <f t="shared" si="183"/>
        <v>2.910650029253059E-2</v>
      </c>
      <c r="EF17" s="31">
        <f t="shared" si="184"/>
        <v>95874.683904455436</v>
      </c>
      <c r="EG17" s="75">
        <f t="shared" si="185"/>
        <v>0</v>
      </c>
      <c r="EH17" s="71" t="s">
        <v>8</v>
      </c>
      <c r="EI17" s="27" t="s">
        <v>8</v>
      </c>
      <c r="EJ17" s="32">
        <f t="shared" si="186"/>
        <v>0.63061062051315031</v>
      </c>
      <c r="EK17" s="30">
        <f t="shared" si="187"/>
        <v>2.910650029253059E-2</v>
      </c>
      <c r="EL17" s="31">
        <f t="shared" si="188"/>
        <v>95874.683904455436</v>
      </c>
      <c r="EM17" s="75">
        <f t="shared" si="189"/>
        <v>0</v>
      </c>
      <c r="EN17" s="71" t="s">
        <v>8</v>
      </c>
      <c r="EO17" s="27" t="s">
        <v>8</v>
      </c>
      <c r="EP17" s="32">
        <f t="shared" si="190"/>
        <v>0.63061062051315031</v>
      </c>
      <c r="EQ17" s="30">
        <f t="shared" si="191"/>
        <v>2.910650029253059E-2</v>
      </c>
      <c r="ER17" s="31">
        <f t="shared" si="192"/>
        <v>95874.683904455436</v>
      </c>
      <c r="ES17" s="75">
        <f t="shared" si="193"/>
        <v>0</v>
      </c>
      <c r="ET17" s="71" t="s">
        <v>8</v>
      </c>
      <c r="EU17" s="27" t="s">
        <v>8</v>
      </c>
      <c r="EV17" s="32">
        <f t="shared" si="194"/>
        <v>0.63061062051315031</v>
      </c>
      <c r="EW17" s="30">
        <f t="shared" si="195"/>
        <v>2.910650029253059E-2</v>
      </c>
      <c r="EX17" s="31">
        <f t="shared" si="196"/>
        <v>95874.683904455436</v>
      </c>
      <c r="EY17" s="75">
        <f t="shared" si="197"/>
        <v>0</v>
      </c>
      <c r="EZ17" s="71" t="s">
        <v>8</v>
      </c>
      <c r="FA17" s="27" t="s">
        <v>8</v>
      </c>
      <c r="FB17" s="32">
        <f t="shared" si="198"/>
        <v>0.63061062051315031</v>
      </c>
      <c r="FC17" s="30">
        <f t="shared" si="199"/>
        <v>2.910650029253059E-2</v>
      </c>
      <c r="FD17" s="31">
        <f t="shared" si="200"/>
        <v>95874.683904455436</v>
      </c>
      <c r="FE17" s="75">
        <f t="shared" si="201"/>
        <v>0</v>
      </c>
      <c r="FF17" s="71" t="s">
        <v>8</v>
      </c>
      <c r="FG17" s="27" t="s">
        <v>8</v>
      </c>
      <c r="FH17" s="32">
        <f t="shared" si="202"/>
        <v>0.63061062051315031</v>
      </c>
      <c r="FI17" s="30">
        <f t="shared" si="203"/>
        <v>2.910650029253059E-2</v>
      </c>
      <c r="FJ17" s="31">
        <f t="shared" si="204"/>
        <v>95874.683904455436</v>
      </c>
      <c r="FK17" s="75">
        <f t="shared" si="205"/>
        <v>0</v>
      </c>
      <c r="FL17" s="71" t="s">
        <v>8</v>
      </c>
      <c r="FM17" s="27" t="s">
        <v>8</v>
      </c>
      <c r="FN17" s="32">
        <f t="shared" si="206"/>
        <v>0.63061062051315031</v>
      </c>
      <c r="FO17" s="30">
        <f t="shared" si="207"/>
        <v>2.910650029253059E-2</v>
      </c>
      <c r="FP17" s="31">
        <f t="shared" si="208"/>
        <v>95874.683904455436</v>
      </c>
      <c r="FQ17" s="75">
        <f t="shared" si="209"/>
        <v>0</v>
      </c>
      <c r="FR17" s="71" t="s">
        <v>8</v>
      </c>
      <c r="FS17" s="27" t="s">
        <v>8</v>
      </c>
      <c r="FT17" s="32">
        <f t="shared" si="210"/>
        <v>0.63061062051315031</v>
      </c>
      <c r="FU17" s="30">
        <f t="shared" si="211"/>
        <v>2.910650029253059E-2</v>
      </c>
      <c r="FV17" s="31">
        <f t="shared" si="212"/>
        <v>95874.683904455436</v>
      </c>
      <c r="FW17" s="75">
        <f t="shared" si="213"/>
        <v>0</v>
      </c>
      <c r="FX17" s="71" t="s">
        <v>8</v>
      </c>
      <c r="FY17" s="27" t="s">
        <v>8</v>
      </c>
      <c r="FZ17" s="32">
        <f t="shared" si="214"/>
        <v>0.63061062051315031</v>
      </c>
      <c r="GA17" s="30">
        <f t="shared" si="215"/>
        <v>2.910650029253059E-2</v>
      </c>
      <c r="GB17" s="31">
        <f t="shared" si="216"/>
        <v>95874.683904455436</v>
      </c>
      <c r="GC17" s="75">
        <f t="shared" si="217"/>
        <v>0</v>
      </c>
      <c r="GD17" s="71" t="s">
        <v>8</v>
      </c>
      <c r="GE17" s="27" t="s">
        <v>8</v>
      </c>
      <c r="GF17" s="32">
        <f t="shared" si="218"/>
        <v>0.63061062051315031</v>
      </c>
      <c r="GG17" s="30">
        <f t="shared" si="219"/>
        <v>2.910650029253059E-2</v>
      </c>
      <c r="GH17" s="31">
        <f t="shared" si="220"/>
        <v>95874.683904455436</v>
      </c>
      <c r="GI17" s="115">
        <f t="shared" si="221"/>
        <v>0</v>
      </c>
      <c r="GJ17" s="139">
        <f t="shared" si="227"/>
        <v>628452.83116946614</v>
      </c>
      <c r="GK17" s="254">
        <f t="shared" si="222"/>
        <v>635015.63161188969</v>
      </c>
      <c r="GL17" s="196">
        <f t="shared" si="228"/>
        <v>0.63061062051315042</v>
      </c>
      <c r="GM17" s="237">
        <v>634053.1</v>
      </c>
      <c r="GN17" s="244"/>
    </row>
    <row r="18" spans="1:197" s="22" customFormat="1" ht="31.5" x14ac:dyDescent="0.25">
      <c r="A18" s="111" t="s">
        <v>182</v>
      </c>
      <c r="B18" s="130" t="s">
        <v>8</v>
      </c>
      <c r="C18" s="130" t="s">
        <v>8</v>
      </c>
      <c r="D18" s="130" t="s">
        <v>8</v>
      </c>
      <c r="E18" s="130" t="s">
        <v>8</v>
      </c>
      <c r="F18" s="130" t="s">
        <v>8</v>
      </c>
      <c r="G18" s="95">
        <f>'Исходные данные'!C20</f>
        <v>5152</v>
      </c>
      <c r="H18" s="28">
        <f>'Исходные данные'!D20</f>
        <v>5239940</v>
      </c>
      <c r="I18" s="29">
        <f>'Расчет КРП'!G16</f>
        <v>2.8351129400445227</v>
      </c>
      <c r="J18" s="102" t="s">
        <v>8</v>
      </c>
      <c r="K18" s="106">
        <f t="shared" si="104"/>
        <v>0.41488580905808414</v>
      </c>
      <c r="L18" s="72">
        <f t="shared" si="223"/>
        <v>845288.69698414649</v>
      </c>
      <c r="M18" s="68">
        <f t="shared" si="224"/>
        <v>0.48181372902203828</v>
      </c>
      <c r="N18" s="27" t="s">
        <v>8</v>
      </c>
      <c r="O18" s="30">
        <f t="shared" si="225"/>
        <v>-0.27987112036490058</v>
      </c>
      <c r="P18" s="31">
        <f t="shared" si="105"/>
        <v>0</v>
      </c>
      <c r="Q18" s="75">
        <f t="shared" si="226"/>
        <v>0</v>
      </c>
      <c r="R18" s="134" t="s">
        <v>8</v>
      </c>
      <c r="S18" s="27" t="s">
        <v>8</v>
      </c>
      <c r="T18" s="32">
        <f t="shared" si="106"/>
        <v>0.48181372902203828</v>
      </c>
      <c r="U18" s="30">
        <f t="shared" si="107"/>
        <v>-0.17299916041460622</v>
      </c>
      <c r="V18" s="48">
        <f t="shared" si="108"/>
        <v>0</v>
      </c>
      <c r="W18" s="75">
        <f t="shared" si="109"/>
        <v>0</v>
      </c>
      <c r="X18" s="71" t="s">
        <v>8</v>
      </c>
      <c r="Y18" s="27" t="s">
        <v>8</v>
      </c>
      <c r="Z18" s="32">
        <f t="shared" si="110"/>
        <v>0.48181372902203828</v>
      </c>
      <c r="AA18" s="30">
        <f t="shared" si="111"/>
        <v>-6.0623621281335749E-2</v>
      </c>
      <c r="AB18" s="48">
        <f t="shared" si="112"/>
        <v>0</v>
      </c>
      <c r="AC18" s="75">
        <f t="shared" si="113"/>
        <v>0</v>
      </c>
      <c r="AD18" s="71" t="s">
        <v>8</v>
      </c>
      <c r="AE18" s="27" t="s">
        <v>8</v>
      </c>
      <c r="AF18" s="32">
        <f t="shared" si="114"/>
        <v>0.48181372902203828</v>
      </c>
      <c r="AG18" s="30">
        <f t="shared" si="115"/>
        <v>4.5615923478181941E-2</v>
      </c>
      <c r="AH18" s="48">
        <f t="shared" si="116"/>
        <v>1376682.8962134977</v>
      </c>
      <c r="AI18" s="75">
        <f t="shared" si="117"/>
        <v>1376682.8962134977</v>
      </c>
      <c r="AJ18" s="71" t="s">
        <v>8</v>
      </c>
      <c r="AK18" s="27" t="s">
        <v>8</v>
      </c>
      <c r="AL18" s="32">
        <f t="shared" si="118"/>
        <v>0.59081615981551361</v>
      </c>
      <c r="AM18" s="30">
        <f t="shared" si="119"/>
        <v>3.0716809886778274E-2</v>
      </c>
      <c r="AN18" s="48">
        <f t="shared" si="120"/>
        <v>1130432.5372647927</v>
      </c>
      <c r="AO18" s="75">
        <f t="shared" si="121"/>
        <v>469688.77067717107</v>
      </c>
      <c r="AP18" s="71" t="s">
        <v>8</v>
      </c>
      <c r="AQ18" s="27" t="s">
        <v>8</v>
      </c>
      <c r="AR18" s="32">
        <f t="shared" si="122"/>
        <v>0.6280049836623316</v>
      </c>
      <c r="AS18" s="30">
        <f t="shared" si="123"/>
        <v>3.1712137143349306E-2</v>
      </c>
      <c r="AT18" s="48">
        <f t="shared" si="124"/>
        <v>1244938.9498014748</v>
      </c>
      <c r="AU18" s="75">
        <f t="shared" si="125"/>
        <v>0</v>
      </c>
      <c r="AV18" s="71" t="s">
        <v>8</v>
      </c>
      <c r="AW18" s="27" t="s">
        <v>8</v>
      </c>
      <c r="AX18" s="32">
        <f t="shared" si="126"/>
        <v>0.6280049836623316</v>
      </c>
      <c r="AY18" s="30">
        <f t="shared" si="127"/>
        <v>3.1712137143349306E-2</v>
      </c>
      <c r="AZ18" s="48">
        <f t="shared" si="128"/>
        <v>1244938.9498014748</v>
      </c>
      <c r="BA18" s="75">
        <f t="shared" si="129"/>
        <v>0</v>
      </c>
      <c r="BB18" s="71" t="s">
        <v>8</v>
      </c>
      <c r="BC18" s="27" t="s">
        <v>8</v>
      </c>
      <c r="BD18" s="32">
        <f t="shared" si="130"/>
        <v>0.6280049836623316</v>
      </c>
      <c r="BE18" s="30">
        <f t="shared" si="131"/>
        <v>3.1712137143349306E-2</v>
      </c>
      <c r="BF18" s="48">
        <f t="shared" si="132"/>
        <v>1244938.9498014748</v>
      </c>
      <c r="BG18" s="75">
        <f t="shared" si="133"/>
        <v>0</v>
      </c>
      <c r="BH18" s="71" t="s">
        <v>8</v>
      </c>
      <c r="BI18" s="27" t="s">
        <v>8</v>
      </c>
      <c r="BJ18" s="32">
        <f t="shared" si="134"/>
        <v>0.6280049836623316</v>
      </c>
      <c r="BK18" s="30">
        <f t="shared" si="135"/>
        <v>3.1712137143349306E-2</v>
      </c>
      <c r="BL18" s="48">
        <f t="shared" si="136"/>
        <v>1244938.9498014748</v>
      </c>
      <c r="BM18" s="75">
        <f t="shared" si="137"/>
        <v>0</v>
      </c>
      <c r="BN18" s="71" t="s">
        <v>8</v>
      </c>
      <c r="BO18" s="27" t="s">
        <v>8</v>
      </c>
      <c r="BP18" s="32">
        <f t="shared" si="138"/>
        <v>0.6280049836623316</v>
      </c>
      <c r="BQ18" s="30">
        <f t="shared" si="139"/>
        <v>3.1712137143349306E-2</v>
      </c>
      <c r="BR18" s="48">
        <f t="shared" si="140"/>
        <v>1244938.9498014748</v>
      </c>
      <c r="BS18" s="115">
        <f t="shared" si="141"/>
        <v>0</v>
      </c>
      <c r="BT18" s="71" t="s">
        <v>8</v>
      </c>
      <c r="BU18" s="27" t="s">
        <v>8</v>
      </c>
      <c r="BV18" s="32">
        <f t="shared" si="142"/>
        <v>0.6280049836623316</v>
      </c>
      <c r="BW18" s="30">
        <f t="shared" si="143"/>
        <v>3.1712137143349306E-2</v>
      </c>
      <c r="BX18" s="48">
        <f t="shared" si="144"/>
        <v>1244938.9498014748</v>
      </c>
      <c r="BY18" s="115">
        <f t="shared" si="145"/>
        <v>0</v>
      </c>
      <c r="BZ18" s="71" t="s">
        <v>8</v>
      </c>
      <c r="CA18" s="27" t="s">
        <v>8</v>
      </c>
      <c r="CB18" s="32">
        <f t="shared" si="146"/>
        <v>0.6280049836623316</v>
      </c>
      <c r="CC18" s="30">
        <f t="shared" si="147"/>
        <v>3.1712137143349306E-2</v>
      </c>
      <c r="CD18" s="48">
        <f t="shared" si="148"/>
        <v>1244938.9498014748</v>
      </c>
      <c r="CE18" s="115">
        <f t="shared" si="149"/>
        <v>0</v>
      </c>
      <c r="CF18" s="71" t="s">
        <v>8</v>
      </c>
      <c r="CG18" s="27" t="s">
        <v>8</v>
      </c>
      <c r="CH18" s="32">
        <f t="shared" si="150"/>
        <v>0.6280049836623316</v>
      </c>
      <c r="CI18" s="30">
        <f t="shared" si="151"/>
        <v>3.1712137143349306E-2</v>
      </c>
      <c r="CJ18" s="48">
        <f t="shared" si="152"/>
        <v>1244938.9498014748</v>
      </c>
      <c r="CK18" s="115">
        <f t="shared" si="153"/>
        <v>0</v>
      </c>
      <c r="CL18" s="71" t="s">
        <v>8</v>
      </c>
      <c r="CM18" s="27" t="s">
        <v>8</v>
      </c>
      <c r="CN18" s="32">
        <f t="shared" si="154"/>
        <v>0.6280049836623316</v>
      </c>
      <c r="CO18" s="30">
        <f t="shared" si="155"/>
        <v>3.1712137143349306E-2</v>
      </c>
      <c r="CP18" s="48">
        <f t="shared" si="156"/>
        <v>1244938.9498014748</v>
      </c>
      <c r="CQ18" s="115">
        <f t="shared" si="157"/>
        <v>0</v>
      </c>
      <c r="CR18" s="71" t="s">
        <v>8</v>
      </c>
      <c r="CS18" s="27" t="s">
        <v>8</v>
      </c>
      <c r="CT18" s="32">
        <f t="shared" si="158"/>
        <v>0.6280049836623316</v>
      </c>
      <c r="CU18" s="30">
        <f t="shared" si="159"/>
        <v>3.1712137143349306E-2</v>
      </c>
      <c r="CV18" s="48">
        <f t="shared" si="160"/>
        <v>1244938.9498014748</v>
      </c>
      <c r="CW18" s="115">
        <f t="shared" si="161"/>
        <v>0</v>
      </c>
      <c r="CX18" s="71" t="s">
        <v>8</v>
      </c>
      <c r="CY18" s="27" t="s">
        <v>8</v>
      </c>
      <c r="CZ18" s="32">
        <f t="shared" si="162"/>
        <v>0.6280049836623316</v>
      </c>
      <c r="DA18" s="30">
        <f t="shared" si="163"/>
        <v>3.1712137143349306E-2</v>
      </c>
      <c r="DB18" s="48">
        <f t="shared" si="164"/>
        <v>1244938.9498014748</v>
      </c>
      <c r="DC18" s="115">
        <f t="shared" si="165"/>
        <v>0</v>
      </c>
      <c r="DD18" s="71" t="s">
        <v>8</v>
      </c>
      <c r="DE18" s="27" t="s">
        <v>8</v>
      </c>
      <c r="DF18" s="32">
        <f t="shared" si="166"/>
        <v>0.6280049836623316</v>
      </c>
      <c r="DG18" s="30">
        <f t="shared" si="167"/>
        <v>3.1712137143349306E-2</v>
      </c>
      <c r="DH18" s="48">
        <f t="shared" si="168"/>
        <v>1244938.9498014748</v>
      </c>
      <c r="DI18" s="115">
        <f t="shared" si="169"/>
        <v>0</v>
      </c>
      <c r="DJ18" s="71" t="s">
        <v>8</v>
      </c>
      <c r="DK18" s="27" t="s">
        <v>8</v>
      </c>
      <c r="DL18" s="32">
        <f t="shared" si="170"/>
        <v>0.6280049836623316</v>
      </c>
      <c r="DM18" s="30">
        <f t="shared" si="171"/>
        <v>3.1712137143349306E-2</v>
      </c>
      <c r="DN18" s="48">
        <f t="shared" si="172"/>
        <v>1244938.9498014748</v>
      </c>
      <c r="DO18" s="115">
        <f t="shared" si="173"/>
        <v>0</v>
      </c>
      <c r="DP18" s="71" t="s">
        <v>8</v>
      </c>
      <c r="DQ18" s="27" t="s">
        <v>8</v>
      </c>
      <c r="DR18" s="32">
        <f t="shared" si="174"/>
        <v>0.6280049836623316</v>
      </c>
      <c r="DS18" s="30">
        <f t="shared" si="175"/>
        <v>3.1712137143349306E-2</v>
      </c>
      <c r="DT18" s="48">
        <f t="shared" si="176"/>
        <v>1244938.9498014748</v>
      </c>
      <c r="DU18" s="115">
        <f t="shared" si="177"/>
        <v>0</v>
      </c>
      <c r="DV18" s="71" t="s">
        <v>8</v>
      </c>
      <c r="DW18" s="27" t="s">
        <v>8</v>
      </c>
      <c r="DX18" s="32">
        <f t="shared" si="178"/>
        <v>0.6280049836623316</v>
      </c>
      <c r="DY18" s="30">
        <f t="shared" si="179"/>
        <v>3.1712137143349306E-2</v>
      </c>
      <c r="DZ18" s="31">
        <f t="shared" si="180"/>
        <v>1244938.9498014748</v>
      </c>
      <c r="EA18" s="75">
        <f t="shared" si="181"/>
        <v>0</v>
      </c>
      <c r="EB18" s="71" t="s">
        <v>8</v>
      </c>
      <c r="EC18" s="27" t="s">
        <v>8</v>
      </c>
      <c r="ED18" s="32">
        <f t="shared" si="182"/>
        <v>0.6280049836623316</v>
      </c>
      <c r="EE18" s="30">
        <f t="shared" si="183"/>
        <v>3.1712137143349306E-2</v>
      </c>
      <c r="EF18" s="31">
        <f t="shared" si="184"/>
        <v>1244938.9498014748</v>
      </c>
      <c r="EG18" s="75">
        <f t="shared" si="185"/>
        <v>0</v>
      </c>
      <c r="EH18" s="71" t="s">
        <v>8</v>
      </c>
      <c r="EI18" s="27" t="s">
        <v>8</v>
      </c>
      <c r="EJ18" s="32">
        <f t="shared" si="186"/>
        <v>0.6280049836623316</v>
      </c>
      <c r="EK18" s="30">
        <f t="shared" si="187"/>
        <v>3.1712137143349306E-2</v>
      </c>
      <c r="EL18" s="31">
        <f t="shared" si="188"/>
        <v>1244938.9498014748</v>
      </c>
      <c r="EM18" s="75">
        <f t="shared" si="189"/>
        <v>0</v>
      </c>
      <c r="EN18" s="71" t="s">
        <v>8</v>
      </c>
      <c r="EO18" s="27" t="s">
        <v>8</v>
      </c>
      <c r="EP18" s="32">
        <f t="shared" si="190"/>
        <v>0.6280049836623316</v>
      </c>
      <c r="EQ18" s="30">
        <f t="shared" si="191"/>
        <v>3.1712137143349306E-2</v>
      </c>
      <c r="ER18" s="31">
        <f t="shared" si="192"/>
        <v>1244938.9498014748</v>
      </c>
      <c r="ES18" s="75">
        <f t="shared" si="193"/>
        <v>0</v>
      </c>
      <c r="ET18" s="71" t="s">
        <v>8</v>
      </c>
      <c r="EU18" s="27" t="s">
        <v>8</v>
      </c>
      <c r="EV18" s="32">
        <f t="shared" si="194"/>
        <v>0.6280049836623316</v>
      </c>
      <c r="EW18" s="30">
        <f t="shared" si="195"/>
        <v>3.1712137143349306E-2</v>
      </c>
      <c r="EX18" s="31">
        <f t="shared" si="196"/>
        <v>1244938.9498014748</v>
      </c>
      <c r="EY18" s="75">
        <f t="shared" si="197"/>
        <v>0</v>
      </c>
      <c r="EZ18" s="71" t="s">
        <v>8</v>
      </c>
      <c r="FA18" s="27" t="s">
        <v>8</v>
      </c>
      <c r="FB18" s="32">
        <f t="shared" si="198"/>
        <v>0.6280049836623316</v>
      </c>
      <c r="FC18" s="30">
        <f t="shared" si="199"/>
        <v>3.1712137143349306E-2</v>
      </c>
      <c r="FD18" s="31">
        <f t="shared" si="200"/>
        <v>1244938.9498014748</v>
      </c>
      <c r="FE18" s="75">
        <f t="shared" si="201"/>
        <v>0</v>
      </c>
      <c r="FF18" s="71" t="s">
        <v>8</v>
      </c>
      <c r="FG18" s="27" t="s">
        <v>8</v>
      </c>
      <c r="FH18" s="32">
        <f t="shared" si="202"/>
        <v>0.6280049836623316</v>
      </c>
      <c r="FI18" s="30">
        <f t="shared" si="203"/>
        <v>3.1712137143349306E-2</v>
      </c>
      <c r="FJ18" s="31">
        <f t="shared" si="204"/>
        <v>1244938.9498014748</v>
      </c>
      <c r="FK18" s="75">
        <f t="shared" si="205"/>
        <v>0</v>
      </c>
      <c r="FL18" s="71" t="s">
        <v>8</v>
      </c>
      <c r="FM18" s="27" t="s">
        <v>8</v>
      </c>
      <c r="FN18" s="32">
        <f t="shared" si="206"/>
        <v>0.6280049836623316</v>
      </c>
      <c r="FO18" s="30">
        <f t="shared" si="207"/>
        <v>3.1712137143349306E-2</v>
      </c>
      <c r="FP18" s="31">
        <f t="shared" si="208"/>
        <v>1244938.9498014748</v>
      </c>
      <c r="FQ18" s="75">
        <f t="shared" si="209"/>
        <v>0</v>
      </c>
      <c r="FR18" s="71" t="s">
        <v>8</v>
      </c>
      <c r="FS18" s="27" t="s">
        <v>8</v>
      </c>
      <c r="FT18" s="32">
        <f t="shared" si="210"/>
        <v>0.6280049836623316</v>
      </c>
      <c r="FU18" s="30">
        <f t="shared" si="211"/>
        <v>3.1712137143349306E-2</v>
      </c>
      <c r="FV18" s="31">
        <f t="shared" si="212"/>
        <v>1244938.9498014748</v>
      </c>
      <c r="FW18" s="75">
        <f t="shared" si="213"/>
        <v>0</v>
      </c>
      <c r="FX18" s="71" t="s">
        <v>8</v>
      </c>
      <c r="FY18" s="27" t="s">
        <v>8</v>
      </c>
      <c r="FZ18" s="32">
        <f t="shared" si="214"/>
        <v>0.6280049836623316</v>
      </c>
      <c r="GA18" s="30">
        <f t="shared" si="215"/>
        <v>3.1712137143349306E-2</v>
      </c>
      <c r="GB18" s="31">
        <f t="shared" si="216"/>
        <v>1244938.9498014748</v>
      </c>
      <c r="GC18" s="75">
        <f t="shared" si="217"/>
        <v>0</v>
      </c>
      <c r="GD18" s="71" t="s">
        <v>8</v>
      </c>
      <c r="GE18" s="27" t="s">
        <v>8</v>
      </c>
      <c r="GF18" s="32">
        <f t="shared" si="218"/>
        <v>0.6280049836623316</v>
      </c>
      <c r="GG18" s="30">
        <f t="shared" si="219"/>
        <v>3.1712137143349306E-2</v>
      </c>
      <c r="GH18" s="31">
        <f t="shared" si="220"/>
        <v>1244938.9498014748</v>
      </c>
      <c r="GI18" s="115">
        <f t="shared" si="221"/>
        <v>0</v>
      </c>
      <c r="GJ18" s="139">
        <f t="shared" si="227"/>
        <v>1846371.6668906687</v>
      </c>
      <c r="GK18" s="254">
        <f t="shared" si="222"/>
        <v>2691660.3638748154</v>
      </c>
      <c r="GL18" s="196">
        <f t="shared" si="228"/>
        <v>0.62800498366233148</v>
      </c>
      <c r="GM18" s="237">
        <v>2765786.32</v>
      </c>
      <c r="GN18" s="244"/>
    </row>
    <row r="19" spans="1:197" s="22" customFormat="1" ht="16.5" thickBot="1" x14ac:dyDescent="0.3">
      <c r="A19" s="111" t="s">
        <v>183</v>
      </c>
      <c r="B19" s="130" t="s">
        <v>8</v>
      </c>
      <c r="C19" s="130" t="s">
        <v>8</v>
      </c>
      <c r="D19" s="130" t="s">
        <v>8</v>
      </c>
      <c r="E19" s="130" t="s">
        <v>8</v>
      </c>
      <c r="F19" s="130" t="s">
        <v>8</v>
      </c>
      <c r="G19" s="95">
        <f>'Исходные данные'!C21</f>
        <v>194</v>
      </c>
      <c r="H19" s="28">
        <f>'Исходные данные'!D21</f>
        <v>167220</v>
      </c>
      <c r="I19" s="29">
        <f>'Расчет КРП'!G17</f>
        <v>9.978831738486333</v>
      </c>
      <c r="J19" s="102" t="s">
        <v>8</v>
      </c>
      <c r="K19" s="106">
        <f t="shared" si="104"/>
        <v>9.9897650513177033E-2</v>
      </c>
      <c r="L19" s="72">
        <f t="shared" si="223"/>
        <v>31829.582145753961</v>
      </c>
      <c r="M19" s="68">
        <f t="shared" si="224"/>
        <v>0.11891272331055168</v>
      </c>
      <c r="N19" s="27" t="s">
        <v>8</v>
      </c>
      <c r="O19" s="30">
        <f t="shared" si="225"/>
        <v>8.3029885346586049E-2</v>
      </c>
      <c r="P19" s="31">
        <f t="shared" si="105"/>
        <v>165356.94647283616</v>
      </c>
      <c r="Q19" s="75">
        <f t="shared" si="226"/>
        <v>165356.94647283616</v>
      </c>
      <c r="R19" s="134" t="s">
        <v>8</v>
      </c>
      <c r="S19" s="27" t="s">
        <v>8</v>
      </c>
      <c r="T19" s="32">
        <f t="shared" si="106"/>
        <v>0.21769738093924146</v>
      </c>
      <c r="U19" s="30">
        <f t="shared" si="107"/>
        <v>9.1117187668190602E-2</v>
      </c>
      <c r="V19" s="48">
        <f t="shared" si="108"/>
        <v>238001.54009383492</v>
      </c>
      <c r="W19" s="75">
        <f t="shared" si="109"/>
        <v>238001.54009383492</v>
      </c>
      <c r="X19" s="71" t="s">
        <v>8</v>
      </c>
      <c r="Y19" s="27" t="s">
        <v>8</v>
      </c>
      <c r="Z19" s="32">
        <f t="shared" si="110"/>
        <v>0.35988010234751683</v>
      </c>
      <c r="AA19" s="30">
        <f t="shared" si="111"/>
        <v>6.1310005393185707E-2</v>
      </c>
      <c r="AB19" s="48">
        <f t="shared" si="112"/>
        <v>204614.47414986268</v>
      </c>
      <c r="AC19" s="75">
        <f t="shared" si="113"/>
        <v>204614.47414986268</v>
      </c>
      <c r="AD19" s="71" t="s">
        <v>8</v>
      </c>
      <c r="AE19" s="27" t="s">
        <v>8</v>
      </c>
      <c r="AF19" s="32">
        <f t="shared" si="114"/>
        <v>0.48211730620208249</v>
      </c>
      <c r="AG19" s="30">
        <f t="shared" si="115"/>
        <v>4.531234629813774E-2</v>
      </c>
      <c r="AH19" s="48">
        <f t="shared" si="116"/>
        <v>181246.32406151653</v>
      </c>
      <c r="AI19" s="75">
        <f t="shared" si="117"/>
        <v>181246.32406151653</v>
      </c>
      <c r="AJ19" s="71" t="s">
        <v>8</v>
      </c>
      <c r="AK19" s="27" t="s">
        <v>8</v>
      </c>
      <c r="AL19" s="32">
        <f t="shared" si="118"/>
        <v>0.5903943181497886</v>
      </c>
      <c r="AM19" s="30">
        <f t="shared" si="119"/>
        <v>3.1138651552503283E-2</v>
      </c>
      <c r="AN19" s="48">
        <f t="shared" si="120"/>
        <v>151881.03650011276</v>
      </c>
      <c r="AO19" s="75">
        <f t="shared" si="121"/>
        <v>63105.771438178774</v>
      </c>
      <c r="AP19" s="71" t="s">
        <v>8</v>
      </c>
      <c r="AQ19" s="27" t="s">
        <v>8</v>
      </c>
      <c r="AR19" s="32">
        <f t="shared" si="122"/>
        <v>0.62809386545570667</v>
      </c>
      <c r="AS19" s="30">
        <f t="shared" si="123"/>
        <v>3.1623255349974233E-2</v>
      </c>
      <c r="AT19" s="48">
        <f t="shared" si="124"/>
        <v>164537.28608690447</v>
      </c>
      <c r="AU19" s="75">
        <f t="shared" si="125"/>
        <v>0</v>
      </c>
      <c r="AV19" s="71" t="s">
        <v>8</v>
      </c>
      <c r="AW19" s="27" t="s">
        <v>8</v>
      </c>
      <c r="AX19" s="32">
        <f t="shared" si="126"/>
        <v>0.62809386545570667</v>
      </c>
      <c r="AY19" s="30">
        <f t="shared" si="127"/>
        <v>3.1623255349974233E-2</v>
      </c>
      <c r="AZ19" s="48">
        <f t="shared" si="128"/>
        <v>164537.28608690447</v>
      </c>
      <c r="BA19" s="75">
        <f t="shared" si="129"/>
        <v>0</v>
      </c>
      <c r="BB19" s="71" t="s">
        <v>8</v>
      </c>
      <c r="BC19" s="27" t="s">
        <v>8</v>
      </c>
      <c r="BD19" s="32">
        <f t="shared" si="130"/>
        <v>0.62809386545570667</v>
      </c>
      <c r="BE19" s="30">
        <f t="shared" si="131"/>
        <v>3.1623255349974233E-2</v>
      </c>
      <c r="BF19" s="48">
        <f t="shared" si="132"/>
        <v>164537.28608690447</v>
      </c>
      <c r="BG19" s="75">
        <f t="shared" si="133"/>
        <v>0</v>
      </c>
      <c r="BH19" s="71" t="s">
        <v>8</v>
      </c>
      <c r="BI19" s="27" t="s">
        <v>8</v>
      </c>
      <c r="BJ19" s="32">
        <f t="shared" si="134"/>
        <v>0.62809386545570667</v>
      </c>
      <c r="BK19" s="30">
        <f t="shared" si="135"/>
        <v>3.1623255349974233E-2</v>
      </c>
      <c r="BL19" s="48">
        <f t="shared" si="136"/>
        <v>164537.28608690447</v>
      </c>
      <c r="BM19" s="75">
        <f t="shared" si="137"/>
        <v>0</v>
      </c>
      <c r="BN19" s="71" t="s">
        <v>8</v>
      </c>
      <c r="BO19" s="27" t="s">
        <v>8</v>
      </c>
      <c r="BP19" s="32">
        <f t="shared" si="138"/>
        <v>0.62809386545570667</v>
      </c>
      <c r="BQ19" s="30">
        <f t="shared" si="139"/>
        <v>3.1623255349974233E-2</v>
      </c>
      <c r="BR19" s="48">
        <f t="shared" si="140"/>
        <v>164537.28608690447</v>
      </c>
      <c r="BS19" s="115">
        <f t="shared" si="141"/>
        <v>0</v>
      </c>
      <c r="BT19" s="71" t="s">
        <v>8</v>
      </c>
      <c r="BU19" s="27" t="s">
        <v>8</v>
      </c>
      <c r="BV19" s="32">
        <f t="shared" si="142"/>
        <v>0.62809386545570667</v>
      </c>
      <c r="BW19" s="30">
        <f t="shared" si="143"/>
        <v>3.1623255349974233E-2</v>
      </c>
      <c r="BX19" s="48">
        <f t="shared" si="144"/>
        <v>164537.28608690447</v>
      </c>
      <c r="BY19" s="115">
        <f t="shared" si="145"/>
        <v>0</v>
      </c>
      <c r="BZ19" s="71" t="s">
        <v>8</v>
      </c>
      <c r="CA19" s="27" t="s">
        <v>8</v>
      </c>
      <c r="CB19" s="32">
        <f t="shared" si="146"/>
        <v>0.62809386545570667</v>
      </c>
      <c r="CC19" s="30">
        <f t="shared" si="147"/>
        <v>3.1623255349974233E-2</v>
      </c>
      <c r="CD19" s="48">
        <f t="shared" si="148"/>
        <v>164537.28608690447</v>
      </c>
      <c r="CE19" s="115">
        <f t="shared" si="149"/>
        <v>0</v>
      </c>
      <c r="CF19" s="71" t="s">
        <v>8</v>
      </c>
      <c r="CG19" s="27" t="s">
        <v>8</v>
      </c>
      <c r="CH19" s="32">
        <f t="shared" si="150"/>
        <v>0.62809386545570667</v>
      </c>
      <c r="CI19" s="30">
        <f t="shared" si="151"/>
        <v>3.1623255349974233E-2</v>
      </c>
      <c r="CJ19" s="48">
        <f t="shared" si="152"/>
        <v>164537.28608690447</v>
      </c>
      <c r="CK19" s="115">
        <f t="shared" si="153"/>
        <v>0</v>
      </c>
      <c r="CL19" s="71" t="s">
        <v>8</v>
      </c>
      <c r="CM19" s="27" t="s">
        <v>8</v>
      </c>
      <c r="CN19" s="32">
        <f t="shared" si="154"/>
        <v>0.62809386545570667</v>
      </c>
      <c r="CO19" s="30">
        <f t="shared" si="155"/>
        <v>3.1623255349974233E-2</v>
      </c>
      <c r="CP19" s="48">
        <f t="shared" si="156"/>
        <v>164537.28608690447</v>
      </c>
      <c r="CQ19" s="115">
        <f t="shared" si="157"/>
        <v>0</v>
      </c>
      <c r="CR19" s="71" t="s">
        <v>8</v>
      </c>
      <c r="CS19" s="27" t="s">
        <v>8</v>
      </c>
      <c r="CT19" s="32">
        <f t="shared" si="158"/>
        <v>0.62809386545570667</v>
      </c>
      <c r="CU19" s="30">
        <f t="shared" si="159"/>
        <v>3.1623255349974233E-2</v>
      </c>
      <c r="CV19" s="48">
        <f t="shared" si="160"/>
        <v>164537.28608690447</v>
      </c>
      <c r="CW19" s="115">
        <f t="shared" si="161"/>
        <v>0</v>
      </c>
      <c r="CX19" s="71" t="s">
        <v>8</v>
      </c>
      <c r="CY19" s="27" t="s">
        <v>8</v>
      </c>
      <c r="CZ19" s="32">
        <f t="shared" si="162"/>
        <v>0.62809386545570667</v>
      </c>
      <c r="DA19" s="30">
        <f t="shared" si="163"/>
        <v>3.1623255349974233E-2</v>
      </c>
      <c r="DB19" s="48">
        <f t="shared" si="164"/>
        <v>164537.28608690447</v>
      </c>
      <c r="DC19" s="115">
        <f t="shared" si="165"/>
        <v>0</v>
      </c>
      <c r="DD19" s="71" t="s">
        <v>8</v>
      </c>
      <c r="DE19" s="27" t="s">
        <v>8</v>
      </c>
      <c r="DF19" s="32">
        <f t="shared" si="166"/>
        <v>0.62809386545570667</v>
      </c>
      <c r="DG19" s="30">
        <f t="shared" si="167"/>
        <v>3.1623255349974233E-2</v>
      </c>
      <c r="DH19" s="48">
        <f t="shared" si="168"/>
        <v>164537.28608690447</v>
      </c>
      <c r="DI19" s="115">
        <f t="shared" si="169"/>
        <v>0</v>
      </c>
      <c r="DJ19" s="71" t="s">
        <v>8</v>
      </c>
      <c r="DK19" s="27" t="s">
        <v>8</v>
      </c>
      <c r="DL19" s="32">
        <f t="shared" si="170"/>
        <v>0.62809386545570667</v>
      </c>
      <c r="DM19" s="30">
        <f t="shared" si="171"/>
        <v>3.1623255349974233E-2</v>
      </c>
      <c r="DN19" s="48">
        <f t="shared" si="172"/>
        <v>164537.28608690447</v>
      </c>
      <c r="DO19" s="115">
        <f t="shared" si="173"/>
        <v>0</v>
      </c>
      <c r="DP19" s="71" t="s">
        <v>8</v>
      </c>
      <c r="DQ19" s="27" t="s">
        <v>8</v>
      </c>
      <c r="DR19" s="32">
        <f t="shared" si="174"/>
        <v>0.62809386545570667</v>
      </c>
      <c r="DS19" s="30">
        <f t="shared" si="175"/>
        <v>3.1623255349974233E-2</v>
      </c>
      <c r="DT19" s="48">
        <f t="shared" si="176"/>
        <v>164537.28608690447</v>
      </c>
      <c r="DU19" s="115">
        <f t="shared" si="177"/>
        <v>0</v>
      </c>
      <c r="DV19" s="71" t="s">
        <v>8</v>
      </c>
      <c r="DW19" s="27" t="s">
        <v>8</v>
      </c>
      <c r="DX19" s="32">
        <f t="shared" si="178"/>
        <v>0.62809386545570667</v>
      </c>
      <c r="DY19" s="30">
        <f t="shared" si="179"/>
        <v>3.1623255349974233E-2</v>
      </c>
      <c r="DZ19" s="31">
        <f t="shared" si="180"/>
        <v>164537.28608690447</v>
      </c>
      <c r="EA19" s="75">
        <f t="shared" si="181"/>
        <v>0</v>
      </c>
      <c r="EB19" s="71" t="s">
        <v>8</v>
      </c>
      <c r="EC19" s="27" t="s">
        <v>8</v>
      </c>
      <c r="ED19" s="32">
        <f t="shared" si="182"/>
        <v>0.62809386545570667</v>
      </c>
      <c r="EE19" s="30">
        <f t="shared" si="183"/>
        <v>3.1623255349974233E-2</v>
      </c>
      <c r="EF19" s="31">
        <f t="shared" si="184"/>
        <v>164537.28608690447</v>
      </c>
      <c r="EG19" s="75">
        <f t="shared" si="185"/>
        <v>0</v>
      </c>
      <c r="EH19" s="71" t="s">
        <v>8</v>
      </c>
      <c r="EI19" s="27" t="s">
        <v>8</v>
      </c>
      <c r="EJ19" s="32">
        <f t="shared" si="186"/>
        <v>0.62809386545570667</v>
      </c>
      <c r="EK19" s="30">
        <f t="shared" si="187"/>
        <v>3.1623255349974233E-2</v>
      </c>
      <c r="EL19" s="31">
        <f t="shared" si="188"/>
        <v>164537.28608690447</v>
      </c>
      <c r="EM19" s="75">
        <f t="shared" si="189"/>
        <v>0</v>
      </c>
      <c r="EN19" s="71" t="s">
        <v>8</v>
      </c>
      <c r="EO19" s="27" t="s">
        <v>8</v>
      </c>
      <c r="EP19" s="32">
        <f t="shared" si="190"/>
        <v>0.62809386545570667</v>
      </c>
      <c r="EQ19" s="30">
        <f t="shared" si="191"/>
        <v>3.1623255349974233E-2</v>
      </c>
      <c r="ER19" s="31">
        <f t="shared" si="192"/>
        <v>164537.28608690447</v>
      </c>
      <c r="ES19" s="75">
        <f t="shared" si="193"/>
        <v>0</v>
      </c>
      <c r="ET19" s="71" t="s">
        <v>8</v>
      </c>
      <c r="EU19" s="27" t="s">
        <v>8</v>
      </c>
      <c r="EV19" s="32">
        <f t="shared" si="194"/>
        <v>0.62809386545570667</v>
      </c>
      <c r="EW19" s="30">
        <f t="shared" si="195"/>
        <v>3.1623255349974233E-2</v>
      </c>
      <c r="EX19" s="31">
        <f t="shared" si="196"/>
        <v>164537.28608690447</v>
      </c>
      <c r="EY19" s="75">
        <f t="shared" si="197"/>
        <v>0</v>
      </c>
      <c r="EZ19" s="71" t="s">
        <v>8</v>
      </c>
      <c r="FA19" s="27" t="s">
        <v>8</v>
      </c>
      <c r="FB19" s="32">
        <f t="shared" si="198"/>
        <v>0.62809386545570667</v>
      </c>
      <c r="FC19" s="30">
        <f t="shared" si="199"/>
        <v>3.1623255349974233E-2</v>
      </c>
      <c r="FD19" s="31">
        <f t="shared" si="200"/>
        <v>164537.28608690447</v>
      </c>
      <c r="FE19" s="75">
        <f t="shared" si="201"/>
        <v>0</v>
      </c>
      <c r="FF19" s="71" t="s">
        <v>8</v>
      </c>
      <c r="FG19" s="27" t="s">
        <v>8</v>
      </c>
      <c r="FH19" s="32">
        <f t="shared" si="202"/>
        <v>0.62809386545570667</v>
      </c>
      <c r="FI19" s="30">
        <f t="shared" si="203"/>
        <v>3.1623255349974233E-2</v>
      </c>
      <c r="FJ19" s="31">
        <f t="shared" si="204"/>
        <v>164537.28608690447</v>
      </c>
      <c r="FK19" s="75">
        <f t="shared" si="205"/>
        <v>0</v>
      </c>
      <c r="FL19" s="71" t="s">
        <v>8</v>
      </c>
      <c r="FM19" s="27" t="s">
        <v>8</v>
      </c>
      <c r="FN19" s="32">
        <f t="shared" si="206"/>
        <v>0.62809386545570667</v>
      </c>
      <c r="FO19" s="30">
        <f t="shared" si="207"/>
        <v>3.1623255349974233E-2</v>
      </c>
      <c r="FP19" s="31">
        <f t="shared" si="208"/>
        <v>164537.28608690447</v>
      </c>
      <c r="FQ19" s="75">
        <f t="shared" si="209"/>
        <v>0</v>
      </c>
      <c r="FR19" s="71" t="s">
        <v>8</v>
      </c>
      <c r="FS19" s="27" t="s">
        <v>8</v>
      </c>
      <c r="FT19" s="32">
        <f t="shared" si="210"/>
        <v>0.62809386545570667</v>
      </c>
      <c r="FU19" s="30">
        <f t="shared" si="211"/>
        <v>3.1623255349974233E-2</v>
      </c>
      <c r="FV19" s="31">
        <f t="shared" si="212"/>
        <v>164537.28608690447</v>
      </c>
      <c r="FW19" s="75">
        <f t="shared" si="213"/>
        <v>0</v>
      </c>
      <c r="FX19" s="71" t="s">
        <v>8</v>
      </c>
      <c r="FY19" s="27" t="s">
        <v>8</v>
      </c>
      <c r="FZ19" s="32">
        <f t="shared" si="214"/>
        <v>0.62809386545570667</v>
      </c>
      <c r="GA19" s="30">
        <f t="shared" si="215"/>
        <v>3.1623255349974233E-2</v>
      </c>
      <c r="GB19" s="31">
        <f t="shared" si="216"/>
        <v>164537.28608690447</v>
      </c>
      <c r="GC19" s="75">
        <f t="shared" si="217"/>
        <v>0</v>
      </c>
      <c r="GD19" s="71" t="s">
        <v>8</v>
      </c>
      <c r="GE19" s="27" t="s">
        <v>8</v>
      </c>
      <c r="GF19" s="32">
        <f t="shared" si="218"/>
        <v>0.62809386545570667</v>
      </c>
      <c r="GG19" s="30">
        <f t="shared" si="219"/>
        <v>3.1623255349974233E-2</v>
      </c>
      <c r="GH19" s="31">
        <f t="shared" si="220"/>
        <v>164537.28608690447</v>
      </c>
      <c r="GI19" s="115">
        <f t="shared" si="221"/>
        <v>0</v>
      </c>
      <c r="GJ19" s="139">
        <f t="shared" si="227"/>
        <v>852325.05621622899</v>
      </c>
      <c r="GK19" s="254">
        <f>L19+GJ19-0.01</f>
        <v>884154.62836198299</v>
      </c>
      <c r="GL19" s="196">
        <f t="shared" si="228"/>
        <v>0.62809385948168139</v>
      </c>
      <c r="GM19" s="237">
        <v>878841.53</v>
      </c>
      <c r="GN19" s="244"/>
    </row>
    <row r="20" spans="1:197" s="26" customFormat="1" ht="20.25" customHeight="1" thickBot="1" x14ac:dyDescent="0.3">
      <c r="A20" s="90" t="s">
        <v>6</v>
      </c>
      <c r="B20" s="112">
        <v>14833752</v>
      </c>
      <c r="C20" s="108">
        <v>9</v>
      </c>
      <c r="D20" s="76">
        <f>B20*C20/100</f>
        <v>1335037.68</v>
      </c>
      <c r="E20" s="97">
        <v>91</v>
      </c>
      <c r="F20" s="76">
        <f>B20-D20</f>
        <v>13498714.32</v>
      </c>
      <c r="G20" s="96">
        <f>SUM(G9:G19)</f>
        <v>8137</v>
      </c>
      <c r="H20" s="96">
        <f>SUM(H9:H19)</f>
        <v>7035838</v>
      </c>
      <c r="I20" s="40" t="s">
        <v>8</v>
      </c>
      <c r="J20" s="144">
        <f>H20/G20</f>
        <v>864.67223792552534</v>
      </c>
      <c r="K20" s="107" t="s">
        <v>8</v>
      </c>
      <c r="L20" s="73">
        <f>SUM(L9:L19)</f>
        <v>1335037.68</v>
      </c>
      <c r="M20" s="69" t="s">
        <v>8</v>
      </c>
      <c r="N20" s="41">
        <f>(SUMIF(M9:M19,"&lt;1")+1)/(COUNTIFS(M9:M19,"&lt;1")+1)</f>
        <v>0.20194260865713773</v>
      </c>
      <c r="O20" s="42" t="s">
        <v>8</v>
      </c>
      <c r="P20" s="39">
        <f>SUM(P9:P19)</f>
        <v>2608113.244358479</v>
      </c>
      <c r="Q20" s="39">
        <f>SUM(Q9:Q19)</f>
        <v>2608113.244358479</v>
      </c>
      <c r="R20" s="78">
        <f>F20-Q20</f>
        <v>10890601.07564152</v>
      </c>
      <c r="S20" s="41">
        <f>(SUMIF(T9:T19,"&lt;1")+1)/(COUNTIFS(T9:T19,"&lt;1")+1)</f>
        <v>0.30881456860743206</v>
      </c>
      <c r="T20" s="42" t="s">
        <v>8</v>
      </c>
      <c r="U20" s="42" t="s">
        <v>8</v>
      </c>
      <c r="V20" s="39">
        <f>SUM(V9:V19)</f>
        <v>3048756.7654060354</v>
      </c>
      <c r="W20" s="39">
        <f>SUM(W9:W19)</f>
        <v>3048756.7654060354</v>
      </c>
      <c r="X20" s="78">
        <f>R20-W20</f>
        <v>7841844.3102354854</v>
      </c>
      <c r="Y20" s="41">
        <f>(SUMIF(Z9:Z19,"&lt;1")+1)/(COUNTIFS(Z9:Z19,"&lt;1")+1)</f>
        <v>0.42119010774070254</v>
      </c>
      <c r="Z20" s="42" t="s">
        <v>8</v>
      </c>
      <c r="AA20" s="42" t="s">
        <v>8</v>
      </c>
      <c r="AB20" s="39">
        <f>SUM(AB9:AB19)</f>
        <v>2784879.9504008815</v>
      </c>
      <c r="AC20" s="39">
        <f>SUM(AC9:AC19)</f>
        <v>2784879.9504008815</v>
      </c>
      <c r="AD20" s="78">
        <f>X20-AC20</f>
        <v>5056964.359834604</v>
      </c>
      <c r="AE20" s="41">
        <f>(SUMIF(AF9:AF19,"&lt;1")+1)/(COUNTIFS(AF9:AF19,"&lt;1")+1)</f>
        <v>0.52742965250022023</v>
      </c>
      <c r="AF20" s="42" t="s">
        <v>8</v>
      </c>
      <c r="AG20" s="42" t="s">
        <v>8</v>
      </c>
      <c r="AH20" s="39">
        <f>SUM(AH9:AH19)</f>
        <v>3688921.5403962107</v>
      </c>
      <c r="AI20" s="39">
        <f>SUM(AI9:AI19)</f>
        <v>3688921.5403962107</v>
      </c>
      <c r="AJ20" s="78">
        <f>AD20-AI20</f>
        <v>1368042.8194383932</v>
      </c>
      <c r="AK20" s="41">
        <f>(SUMIF(AL9:AL19,"&lt;1")+1)/(COUNTIFS(AL9:AL19,"&lt;1")+1)</f>
        <v>0.62153296970229188</v>
      </c>
      <c r="AL20" s="42" t="s">
        <v>8</v>
      </c>
      <c r="AM20" s="42" t="s">
        <v>8</v>
      </c>
      <c r="AN20" s="39">
        <f>SUM(AN9:AN19)</f>
        <v>3292563.5271948162</v>
      </c>
      <c r="AO20" s="39">
        <f>SUM(AO9:AO19)</f>
        <v>1368042.8194383935</v>
      </c>
      <c r="AP20" s="78">
        <f>AJ20-AO20</f>
        <v>0</v>
      </c>
      <c r="AQ20" s="41">
        <f>(SUMIF(AR9:AR19,"&lt;1")+1)/(COUNTIFS(AR9:AR19,"&lt;1")+1)</f>
        <v>0.6597171208056809</v>
      </c>
      <c r="AR20" s="42" t="s">
        <v>8</v>
      </c>
      <c r="AS20" s="42" t="s">
        <v>8</v>
      </c>
      <c r="AT20" s="39">
        <f>SUM(AT9:AT19)</f>
        <v>3390732.101682236</v>
      </c>
      <c r="AU20" s="76">
        <f>SUM(AU9:AU19)</f>
        <v>0</v>
      </c>
      <c r="AV20" s="78">
        <f>AP20-AU20</f>
        <v>0</v>
      </c>
      <c r="AW20" s="41">
        <f>(SUMIF(AX9:AX19,"&lt;1")+1)/(COUNTIFS(AX9:AX19,"&lt;1")+1)</f>
        <v>0.6597171208056809</v>
      </c>
      <c r="AX20" s="42" t="s">
        <v>8</v>
      </c>
      <c r="AY20" s="42" t="s">
        <v>8</v>
      </c>
      <c r="AZ20" s="39">
        <f>SUM(AZ9:AZ19)</f>
        <v>3390732.101682236</v>
      </c>
      <c r="BA20" s="39">
        <f>SUM(BA9:BA19)</f>
        <v>0</v>
      </c>
      <c r="BB20" s="78">
        <f>AV20-BA20</f>
        <v>0</v>
      </c>
      <c r="BC20" s="41">
        <f>(SUMIF(BD9:BD19,"&lt;1")+1)/(COUNTIFS(BD9:BD19,"&lt;1")+1)</f>
        <v>0.6597171208056809</v>
      </c>
      <c r="BD20" s="42" t="s">
        <v>8</v>
      </c>
      <c r="BE20" s="42" t="s">
        <v>8</v>
      </c>
      <c r="BF20" s="39">
        <f>SUM(BF9:BF19)</f>
        <v>3390732.101682236</v>
      </c>
      <c r="BG20" s="39">
        <f>SUM(BG9:BG19)</f>
        <v>0</v>
      </c>
      <c r="BH20" s="78">
        <f>BB20-BG20</f>
        <v>0</v>
      </c>
      <c r="BI20" s="41">
        <f>(SUMIF(BJ9:BJ19,"&lt;1")+1)/(COUNTIFS(BJ9:BJ19,"&lt;1")+1)</f>
        <v>0.6597171208056809</v>
      </c>
      <c r="BJ20" s="42" t="s">
        <v>8</v>
      </c>
      <c r="BK20" s="42" t="s">
        <v>8</v>
      </c>
      <c r="BL20" s="39">
        <f>SUM(BL9:BL19)</f>
        <v>3390732.101682236</v>
      </c>
      <c r="BM20" s="39">
        <f>SUM(BM9:BM19)</f>
        <v>0</v>
      </c>
      <c r="BN20" s="78">
        <f>BH20-BM20</f>
        <v>0</v>
      </c>
      <c r="BO20" s="41">
        <f>(SUMIF(BP9:BP19,"&lt;1")+1)/(COUNTIFS(BP9:BP19,"&lt;1")+1)</f>
        <v>0.6597171208056809</v>
      </c>
      <c r="BP20" s="42" t="s">
        <v>8</v>
      </c>
      <c r="BQ20" s="42" t="s">
        <v>8</v>
      </c>
      <c r="BR20" s="39">
        <f>SUM(BR9:BR19)</f>
        <v>3390732.101682236</v>
      </c>
      <c r="BS20" s="39">
        <f>SUM(BS9:BS19)</f>
        <v>0</v>
      </c>
      <c r="BT20" s="78">
        <f>BN20-BS20</f>
        <v>0</v>
      </c>
      <c r="BU20" s="41">
        <f>(SUMIF(BV9:BV19,"&lt;1")+1)/(COUNTIFS(BV9:BV19,"&lt;1")+1)</f>
        <v>0.6597171208056809</v>
      </c>
      <c r="BV20" s="42" t="s">
        <v>8</v>
      </c>
      <c r="BW20" s="42" t="s">
        <v>8</v>
      </c>
      <c r="BX20" s="39">
        <f>SUM(BX9:BX19)</f>
        <v>3390732.101682236</v>
      </c>
      <c r="BY20" s="39">
        <f>SUM(BY9:BY19)</f>
        <v>0</v>
      </c>
      <c r="BZ20" s="78">
        <f>BT20-BY20</f>
        <v>0</v>
      </c>
      <c r="CA20" s="41">
        <f>(SUMIF(CB9:CB19,"&lt;1")+1)/(COUNTIFS(CB9:CB19,"&lt;1")+1)</f>
        <v>0.6597171208056809</v>
      </c>
      <c r="CB20" s="42" t="s">
        <v>8</v>
      </c>
      <c r="CC20" s="42" t="s">
        <v>8</v>
      </c>
      <c r="CD20" s="39">
        <f>SUM(CD9:CD19)</f>
        <v>3390732.101682236</v>
      </c>
      <c r="CE20" s="39">
        <f>SUM(CE9:CE19)</f>
        <v>0</v>
      </c>
      <c r="CF20" s="78">
        <f>BZ20-CE20</f>
        <v>0</v>
      </c>
      <c r="CG20" s="41">
        <f>(SUMIF(CH9:CH19,"&lt;1")+1)/(COUNTIFS(CH9:CH19,"&lt;1")+1)</f>
        <v>0.6597171208056809</v>
      </c>
      <c r="CH20" s="42" t="s">
        <v>8</v>
      </c>
      <c r="CI20" s="42" t="s">
        <v>8</v>
      </c>
      <c r="CJ20" s="39">
        <f>SUM(CJ9:CJ19)</f>
        <v>3390732.101682236</v>
      </c>
      <c r="CK20" s="39">
        <f>SUM(CK9:CK19)</f>
        <v>0</v>
      </c>
      <c r="CL20" s="78">
        <f>CF20-CK20</f>
        <v>0</v>
      </c>
      <c r="CM20" s="41">
        <f>(SUMIF(CN9:CN19,"&lt;1")+1)/(COUNTIFS(CN9:CN19,"&lt;1")+1)</f>
        <v>0.6597171208056809</v>
      </c>
      <c r="CN20" s="42" t="s">
        <v>8</v>
      </c>
      <c r="CO20" s="42" t="s">
        <v>8</v>
      </c>
      <c r="CP20" s="39">
        <f>SUM(CP9:CP19)</f>
        <v>3390732.101682236</v>
      </c>
      <c r="CQ20" s="39">
        <f>SUM(CQ9:CQ19)</f>
        <v>0</v>
      </c>
      <c r="CR20" s="78">
        <f>CL20-CQ20</f>
        <v>0</v>
      </c>
      <c r="CS20" s="41">
        <f>(SUMIF(CT9:CT19,"&lt;1")+1)/(COUNTIFS(CT9:CT19,"&lt;1")+1)</f>
        <v>0.6597171208056809</v>
      </c>
      <c r="CT20" s="42" t="s">
        <v>8</v>
      </c>
      <c r="CU20" s="42" t="s">
        <v>8</v>
      </c>
      <c r="CV20" s="39">
        <f>SUM(CV9:CV19)</f>
        <v>3390732.101682236</v>
      </c>
      <c r="CW20" s="39">
        <f>SUM(CW9:CW19)</f>
        <v>0</v>
      </c>
      <c r="CX20" s="78">
        <f>CR20-CW20</f>
        <v>0</v>
      </c>
      <c r="CY20" s="41">
        <f>(SUMIF(CZ9:CZ19,"&lt;1")+1)/(COUNTIFS(CZ9:CZ19,"&lt;1")+1)</f>
        <v>0.6597171208056809</v>
      </c>
      <c r="CZ20" s="42" t="s">
        <v>8</v>
      </c>
      <c r="DA20" s="42" t="s">
        <v>8</v>
      </c>
      <c r="DB20" s="39">
        <f>SUM(DB9:DB19)</f>
        <v>3390732.101682236</v>
      </c>
      <c r="DC20" s="39">
        <f>SUM(DC9:DC19)</f>
        <v>0</v>
      </c>
      <c r="DD20" s="78">
        <f>CX20-DC20</f>
        <v>0</v>
      </c>
      <c r="DE20" s="41">
        <f>(SUMIF(DF9:DF19,"&lt;1")+1)/(COUNTIFS(DF9:DF19,"&lt;1")+1)</f>
        <v>0.6597171208056809</v>
      </c>
      <c r="DF20" s="42" t="s">
        <v>8</v>
      </c>
      <c r="DG20" s="42" t="s">
        <v>8</v>
      </c>
      <c r="DH20" s="39">
        <f>SUM(DH9:DH19)</f>
        <v>3390732.101682236</v>
      </c>
      <c r="DI20" s="39">
        <f>SUM(DI9:DI19)</f>
        <v>0</v>
      </c>
      <c r="DJ20" s="78">
        <f>DD20-DI20</f>
        <v>0</v>
      </c>
      <c r="DK20" s="41">
        <f>(SUMIF(DL9:DL19,"&lt;1")+1)/(COUNTIFS(DL9:DL19,"&lt;1")+1)</f>
        <v>0.6597171208056809</v>
      </c>
      <c r="DL20" s="42" t="s">
        <v>8</v>
      </c>
      <c r="DM20" s="42" t="s">
        <v>8</v>
      </c>
      <c r="DN20" s="39">
        <f>SUM(DN9:DN19)</f>
        <v>3390732.101682236</v>
      </c>
      <c r="DO20" s="39">
        <f>SUM(DO9:DO19)</f>
        <v>0</v>
      </c>
      <c r="DP20" s="78">
        <f>DJ20-DO20</f>
        <v>0</v>
      </c>
      <c r="DQ20" s="41">
        <f>(SUMIF(DR9:DR19,"&lt;1")+1)/(COUNTIFS(DR9:DR19,"&lt;1")+1)</f>
        <v>0.6597171208056809</v>
      </c>
      <c r="DR20" s="42" t="s">
        <v>8</v>
      </c>
      <c r="DS20" s="42" t="s">
        <v>8</v>
      </c>
      <c r="DT20" s="39">
        <f>SUM(DT9:DT19)</f>
        <v>3390732.101682236</v>
      </c>
      <c r="DU20" s="39">
        <f>SUM(DU9:DU19)</f>
        <v>0</v>
      </c>
      <c r="DV20" s="78">
        <f>DP20-DU20</f>
        <v>0</v>
      </c>
      <c r="DW20" s="41">
        <f>(SUMIF(DX9:DX19,"&lt;1")+1)/(COUNTIFS(DX9:DX19,"&lt;1")+1)</f>
        <v>0.6597171208056809</v>
      </c>
      <c r="DX20" s="42" t="s">
        <v>8</v>
      </c>
      <c r="DY20" s="42" t="s">
        <v>8</v>
      </c>
      <c r="DZ20" s="128">
        <f>SUM(DZ9:DZ19)</f>
        <v>3390732.101682236</v>
      </c>
      <c r="EA20" s="39">
        <f>SUM(EA9:EA19)</f>
        <v>0</v>
      </c>
      <c r="EB20" s="78">
        <f>DV20-EA20</f>
        <v>0</v>
      </c>
      <c r="EC20" s="41">
        <f>(SUMIF(ED9:ED19,"&lt;1")+1)/(COUNTIFS(ED9:ED19,"&lt;1")+1)</f>
        <v>0.6597171208056809</v>
      </c>
      <c r="ED20" s="42" t="s">
        <v>8</v>
      </c>
      <c r="EE20" s="42" t="s">
        <v>8</v>
      </c>
      <c r="EF20" s="128">
        <f>SUM(EF9:EF19)</f>
        <v>3390732.101682236</v>
      </c>
      <c r="EG20" s="39">
        <f>SUM(EG9:EG19)</f>
        <v>0</v>
      </c>
      <c r="EH20" s="78">
        <f>EB20-EG20</f>
        <v>0</v>
      </c>
      <c r="EI20" s="41">
        <f>(SUMIF(EJ9:EJ19,"&lt;1")+1)/(COUNTIFS(EJ9:EJ19,"&lt;1")+1)</f>
        <v>0.6597171208056809</v>
      </c>
      <c r="EJ20" s="42" t="s">
        <v>8</v>
      </c>
      <c r="EK20" s="42" t="s">
        <v>8</v>
      </c>
      <c r="EL20" s="128">
        <f>SUM(EL9:EL19)</f>
        <v>3390732.101682236</v>
      </c>
      <c r="EM20" s="39">
        <f>SUM(EM9:EM19)</f>
        <v>0</v>
      </c>
      <c r="EN20" s="78">
        <f>EH20-EM20</f>
        <v>0</v>
      </c>
      <c r="EO20" s="41">
        <f>(SUMIF(EP9:EP19,"&lt;1")+1)/(COUNTIFS(EP9:EP19,"&lt;1")+1)</f>
        <v>0.6597171208056809</v>
      </c>
      <c r="EP20" s="42" t="s">
        <v>8</v>
      </c>
      <c r="EQ20" s="42" t="s">
        <v>8</v>
      </c>
      <c r="ER20" s="128">
        <f>SUM(ER9:ER19)</f>
        <v>3390732.101682236</v>
      </c>
      <c r="ES20" s="39">
        <f>SUM(ES9:ES19)</f>
        <v>0</v>
      </c>
      <c r="ET20" s="78">
        <f>EN20-ES20</f>
        <v>0</v>
      </c>
      <c r="EU20" s="41">
        <f>(SUMIF(EV9:EV19,"&lt;1")+1)/(COUNTIFS(EV9:EV19,"&lt;1")+1)</f>
        <v>0.6597171208056809</v>
      </c>
      <c r="EV20" s="42" t="s">
        <v>8</v>
      </c>
      <c r="EW20" s="42" t="s">
        <v>8</v>
      </c>
      <c r="EX20" s="128">
        <f>SUM(EX9:EX19)</f>
        <v>3390732.101682236</v>
      </c>
      <c r="EY20" s="39">
        <f>SUM(EY9:EY19)</f>
        <v>0</v>
      </c>
      <c r="EZ20" s="78">
        <f>ET20-EY20</f>
        <v>0</v>
      </c>
      <c r="FA20" s="41">
        <f>(SUMIF(FB9:FB19,"&lt;1")+1)/(COUNTIFS(FB9:FB19,"&lt;1")+1)</f>
        <v>0.6597171208056809</v>
      </c>
      <c r="FB20" s="42" t="s">
        <v>8</v>
      </c>
      <c r="FC20" s="42" t="s">
        <v>8</v>
      </c>
      <c r="FD20" s="128">
        <f>SUM(FD9:FD19)</f>
        <v>3390732.101682236</v>
      </c>
      <c r="FE20" s="39">
        <f>SUM(FE9:FE19)</f>
        <v>0</v>
      </c>
      <c r="FF20" s="78">
        <f>EZ20-FE20</f>
        <v>0</v>
      </c>
      <c r="FG20" s="41">
        <f>(SUMIF(FH9:FH19,"&lt;1")+1)/(COUNTIFS(FH9:FH19,"&lt;1")+1)</f>
        <v>0.6597171208056809</v>
      </c>
      <c r="FH20" s="42" t="s">
        <v>8</v>
      </c>
      <c r="FI20" s="42" t="s">
        <v>8</v>
      </c>
      <c r="FJ20" s="128">
        <f>SUM(FJ9:FJ19)</f>
        <v>3390732.101682236</v>
      </c>
      <c r="FK20" s="39">
        <f>SUM(FK9:FK19)</f>
        <v>0</v>
      </c>
      <c r="FL20" s="78">
        <f>FF20-FK20</f>
        <v>0</v>
      </c>
      <c r="FM20" s="41">
        <f>(SUMIF(FN9:FN19,"&lt;1")+1)/(COUNTIFS(FN9:FN19,"&lt;1")+1)</f>
        <v>0.6597171208056809</v>
      </c>
      <c r="FN20" s="42" t="s">
        <v>8</v>
      </c>
      <c r="FO20" s="42" t="s">
        <v>8</v>
      </c>
      <c r="FP20" s="128">
        <f>SUM(FP9:FP19)</f>
        <v>3390732.101682236</v>
      </c>
      <c r="FQ20" s="39">
        <f>SUM(FQ9:FQ19)</f>
        <v>0</v>
      </c>
      <c r="FR20" s="78">
        <f>FL20-FQ20</f>
        <v>0</v>
      </c>
      <c r="FS20" s="41">
        <f>(SUMIF(FT9:FT19,"&lt;1")+1)/(COUNTIFS(FT9:FT19,"&lt;1")+1)</f>
        <v>0.6597171208056809</v>
      </c>
      <c r="FT20" s="42" t="s">
        <v>8</v>
      </c>
      <c r="FU20" s="42" t="s">
        <v>8</v>
      </c>
      <c r="FV20" s="128">
        <f>SUM(FV9:FV19)</f>
        <v>3390732.101682236</v>
      </c>
      <c r="FW20" s="39">
        <f>SUM(FW9:FW19)</f>
        <v>0</v>
      </c>
      <c r="FX20" s="78">
        <f>FR20-FW20</f>
        <v>0</v>
      </c>
      <c r="FY20" s="41">
        <f>(SUMIF(FZ9:FZ19,"&lt;1")+1)/(COUNTIFS(FZ9:FZ19,"&lt;1")+1)</f>
        <v>0.6597171208056809</v>
      </c>
      <c r="FZ20" s="42" t="s">
        <v>8</v>
      </c>
      <c r="GA20" s="42" t="s">
        <v>8</v>
      </c>
      <c r="GB20" s="128">
        <f>SUM(GB9:GB19)</f>
        <v>3390732.101682236</v>
      </c>
      <c r="GC20" s="39">
        <f>SUM(GC9:GC19)</f>
        <v>0</v>
      </c>
      <c r="GD20" s="78">
        <f>FX20-GC20</f>
        <v>0</v>
      </c>
      <c r="GE20" s="41">
        <f>(SUMIF(GF9:GF19,"&lt;1")+1)/(COUNTIFS(GF9:GF19,"&lt;1")+1)</f>
        <v>0.6597171208056809</v>
      </c>
      <c r="GF20" s="42" t="s">
        <v>8</v>
      </c>
      <c r="GG20" s="42" t="s">
        <v>8</v>
      </c>
      <c r="GH20" s="128">
        <f>SUM(GH9:GH19)</f>
        <v>3390732.101682236</v>
      </c>
      <c r="GI20" s="39">
        <f>SUM(GI9:GI19)</f>
        <v>0</v>
      </c>
      <c r="GJ20" s="150">
        <f>SUM(GJ9:GJ19)</f>
        <v>13498714.32</v>
      </c>
      <c r="GK20" s="255">
        <f t="shared" si="222"/>
        <v>14833752</v>
      </c>
      <c r="GL20" s="197" t="s">
        <v>8</v>
      </c>
      <c r="GM20" s="238">
        <f>GM9+GM10+GM11+GM12+GM13+GM14+GM15+GM16+GM17+GM18+GM19</f>
        <v>14833751.999999998</v>
      </c>
      <c r="GN20" s="244"/>
      <c r="GO20" s="22"/>
    </row>
    <row r="21" spans="1:197" x14ac:dyDescent="0.2">
      <c r="GK21" s="116">
        <f>B20-GK20</f>
        <v>0</v>
      </c>
    </row>
    <row r="22" spans="1:197" x14ac:dyDescent="0.2">
      <c r="B22" s="116"/>
      <c r="P22" s="21"/>
    </row>
    <row r="23" spans="1:197" x14ac:dyDescent="0.2">
      <c r="K23" s="246"/>
      <c r="GL23" s="21"/>
    </row>
    <row r="24" spans="1:197" x14ac:dyDescent="0.2">
      <c r="GJ24" s="116"/>
      <c r="GK24" s="116"/>
    </row>
    <row r="25" spans="1:197" x14ac:dyDescent="0.2">
      <c r="M25" s="20"/>
    </row>
  </sheetData>
  <protectedRanges>
    <protectedRange sqref="A9:A19" name="Диапазон3_1"/>
    <protectedRange sqref="A9:A19" name="Диапазон2_1"/>
  </protectedRanges>
  <mergeCells count="48">
    <mergeCell ref="GJ3:GJ5"/>
    <mergeCell ref="GL3:GL5"/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25"/>
  <sheetViews>
    <sheetView zoomScale="80" zoomScaleNormal="80" workbookViewId="0">
      <selection activeCell="G1" sqref="G1:K1048576"/>
    </sheetView>
  </sheetViews>
  <sheetFormatPr defaultRowHeight="15.75" x14ac:dyDescent="0.2"/>
  <cols>
    <col min="1" max="1" width="7.28515625" style="1" customWidth="1"/>
    <col min="2" max="2" width="37.5703125" style="1" customWidth="1"/>
    <col min="3" max="3" width="17.28515625" style="2" customWidth="1"/>
    <col min="4" max="6" width="15.140625" style="2" customWidth="1"/>
    <col min="7" max="7" width="22.42578125" style="2" hidden="1" customWidth="1"/>
    <col min="8" max="8" width="19.140625" style="3" hidden="1" customWidth="1"/>
    <col min="9" max="9" width="16.28515625" style="3" hidden="1" customWidth="1"/>
    <col min="10" max="10" width="17" style="3" hidden="1" customWidth="1"/>
    <col min="11" max="11" width="16.5703125" style="1" hidden="1" customWidth="1"/>
    <col min="12" max="237" width="9.140625" style="1"/>
  </cols>
  <sheetData>
    <row r="1" spans="1:11" x14ac:dyDescent="0.2">
      <c r="G1" s="2" t="s">
        <v>205</v>
      </c>
    </row>
    <row r="2" spans="1:11" s="4" customFormat="1" ht="41.25" customHeight="1" x14ac:dyDescent="0.2">
      <c r="A2" s="263" t="s">
        <v>72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</row>
    <row r="3" spans="1:11" s="4" customFormat="1" ht="16.5" x14ac:dyDescent="0.2">
      <c r="B3" s="256"/>
      <c r="C3" s="256"/>
      <c r="D3" s="256"/>
      <c r="E3" s="256"/>
      <c r="F3" s="256"/>
      <c r="G3" s="256"/>
      <c r="H3" s="256"/>
      <c r="I3" s="256"/>
      <c r="J3" s="256"/>
    </row>
    <row r="4" spans="1:11" ht="16.5" thickBot="1" x14ac:dyDescent="0.25">
      <c r="B4" s="5"/>
      <c r="C4" s="6"/>
      <c r="D4" s="6"/>
      <c r="E4" s="6"/>
      <c r="F4" s="6"/>
      <c r="G4" s="6"/>
    </row>
    <row r="5" spans="1:11" ht="20.25" customHeight="1" thickBot="1" x14ac:dyDescent="0.25">
      <c r="A5" s="270" t="s">
        <v>0</v>
      </c>
      <c r="B5" s="257" t="s">
        <v>7</v>
      </c>
      <c r="C5" s="260" t="s">
        <v>56</v>
      </c>
      <c r="D5" s="322"/>
      <c r="E5" s="322"/>
      <c r="F5" s="322"/>
      <c r="G5" s="261"/>
      <c r="H5" s="261"/>
      <c r="I5" s="261"/>
      <c r="J5" s="261"/>
      <c r="K5" s="262"/>
    </row>
    <row r="6" spans="1:11" s="7" customFormat="1" ht="51.6" customHeight="1" x14ac:dyDescent="0.2">
      <c r="A6" s="271"/>
      <c r="B6" s="258"/>
      <c r="C6" s="85" t="s">
        <v>188</v>
      </c>
      <c r="D6" s="85"/>
      <c r="E6" s="85"/>
      <c r="F6" s="85"/>
      <c r="G6" s="85" t="s">
        <v>62</v>
      </c>
      <c r="H6" s="264" t="s">
        <v>70</v>
      </c>
      <c r="I6" s="265"/>
      <c r="J6" s="265"/>
      <c r="K6" s="266"/>
    </row>
    <row r="7" spans="1:11" s="7" customFormat="1" ht="24" customHeight="1" thickBot="1" x14ac:dyDescent="0.25">
      <c r="A7" s="271"/>
      <c r="B7" s="258"/>
      <c r="C7" s="159" t="s">
        <v>199</v>
      </c>
      <c r="D7" s="159"/>
      <c r="E7" s="159"/>
      <c r="F7" s="159"/>
      <c r="G7" s="160" t="s">
        <v>200</v>
      </c>
      <c r="H7" s="267"/>
      <c r="I7" s="268"/>
      <c r="J7" s="268"/>
      <c r="K7" s="269"/>
    </row>
    <row r="8" spans="1:11" s="7" customFormat="1" ht="86.25" customHeight="1" thickBot="1" x14ac:dyDescent="0.25">
      <c r="A8" s="271"/>
      <c r="B8" s="259"/>
      <c r="C8" s="158" t="s">
        <v>1</v>
      </c>
      <c r="D8" s="158"/>
      <c r="E8" s="158"/>
      <c r="F8" s="158"/>
      <c r="G8" s="158" t="s">
        <v>2</v>
      </c>
      <c r="H8" s="156" t="s">
        <v>201</v>
      </c>
      <c r="I8" s="157" t="s">
        <v>202</v>
      </c>
      <c r="J8" s="86" t="s">
        <v>203</v>
      </c>
      <c r="K8" s="162" t="s">
        <v>204</v>
      </c>
    </row>
    <row r="9" spans="1:11" s="8" customFormat="1" thickBot="1" x14ac:dyDescent="0.25">
      <c r="A9" s="272"/>
      <c r="B9" s="93" t="s">
        <v>3</v>
      </c>
      <c r="C9" s="173" t="s">
        <v>5</v>
      </c>
      <c r="D9" s="93"/>
      <c r="E9" s="93"/>
      <c r="F9" s="93"/>
      <c r="G9" s="93" t="s">
        <v>4</v>
      </c>
      <c r="H9" s="189" t="s">
        <v>184</v>
      </c>
      <c r="I9" s="189" t="s">
        <v>185</v>
      </c>
      <c r="J9" s="190" t="s">
        <v>186</v>
      </c>
      <c r="K9" s="153" t="s">
        <v>187</v>
      </c>
    </row>
    <row r="10" spans="1:11" s="8" customFormat="1" thickBot="1" x14ac:dyDescent="0.25">
      <c r="A10" s="34">
        <v>1</v>
      </c>
      <c r="B10" s="152">
        <v>2</v>
      </c>
      <c r="C10" s="211">
        <v>3</v>
      </c>
      <c r="D10" s="211"/>
      <c r="E10" s="215"/>
      <c r="F10" s="211"/>
      <c r="G10" s="187">
        <v>4</v>
      </c>
      <c r="H10" s="173">
        <v>5</v>
      </c>
      <c r="I10" s="173">
        <v>6</v>
      </c>
      <c r="J10" s="191">
        <v>7</v>
      </c>
      <c r="K10" s="173">
        <v>8</v>
      </c>
    </row>
    <row r="11" spans="1:11" x14ac:dyDescent="0.25">
      <c r="A11" s="164">
        <v>1</v>
      </c>
      <c r="B11" s="203" t="s">
        <v>173</v>
      </c>
      <c r="C11" s="212">
        <v>106</v>
      </c>
      <c r="D11" s="213">
        <v>111</v>
      </c>
      <c r="E11" s="221">
        <f>C11-D11</f>
        <v>-5</v>
      </c>
      <c r="F11" s="217">
        <f>(C11/D11*100)-100</f>
        <v>-4.5045045045044958</v>
      </c>
      <c r="G11" s="209">
        <v>54081.49</v>
      </c>
      <c r="H11" s="174">
        <v>2</v>
      </c>
      <c r="I11" s="174">
        <v>312.3</v>
      </c>
      <c r="J11" s="182">
        <v>44</v>
      </c>
      <c r="K11" s="193">
        <f>C11/I11</f>
        <v>0.3394172270252962</v>
      </c>
    </row>
    <row r="12" spans="1:11" x14ac:dyDescent="0.25">
      <c r="A12" s="165">
        <v>2</v>
      </c>
      <c r="B12" s="207" t="s">
        <v>174</v>
      </c>
      <c r="C12" s="212">
        <v>477</v>
      </c>
      <c r="D12" s="214">
        <v>571</v>
      </c>
      <c r="E12" s="222">
        <f t="shared" ref="E12:E21" si="0">C12-D12</f>
        <v>-94</v>
      </c>
      <c r="F12" s="218">
        <f t="shared" ref="F12:F21" si="1">(C12/D12*100)-100</f>
        <v>-16.462346760070062</v>
      </c>
      <c r="G12" s="210">
        <v>266555.03000000003</v>
      </c>
      <c r="H12" s="123">
        <v>5</v>
      </c>
      <c r="I12" s="123">
        <v>366.5</v>
      </c>
      <c r="J12" s="171">
        <v>7</v>
      </c>
      <c r="K12" s="176">
        <f t="shared" ref="K12:K21" si="2">C12/I12</f>
        <v>1.3015006821282402</v>
      </c>
    </row>
    <row r="13" spans="1:11" x14ac:dyDescent="0.25">
      <c r="A13" s="165">
        <v>3</v>
      </c>
      <c r="B13" s="207" t="s">
        <v>175</v>
      </c>
      <c r="C13" s="212">
        <v>365</v>
      </c>
      <c r="D13" s="214">
        <v>436</v>
      </c>
      <c r="E13" s="222">
        <f t="shared" si="0"/>
        <v>-71</v>
      </c>
      <c r="F13" s="218">
        <f t="shared" si="1"/>
        <v>-16.284403669724767</v>
      </c>
      <c r="G13" s="210">
        <v>180465.11</v>
      </c>
      <c r="H13" s="123">
        <v>3</v>
      </c>
      <c r="I13" s="123">
        <v>772.6</v>
      </c>
      <c r="J13" s="171">
        <v>12</v>
      </c>
      <c r="K13" s="176">
        <f t="shared" si="2"/>
        <v>0.47243075330054363</v>
      </c>
    </row>
    <row r="14" spans="1:11" x14ac:dyDescent="0.25">
      <c r="A14" s="165">
        <v>4</v>
      </c>
      <c r="B14" s="207" t="s">
        <v>176</v>
      </c>
      <c r="C14" s="212">
        <v>124</v>
      </c>
      <c r="D14" s="214">
        <v>169</v>
      </c>
      <c r="E14" s="222">
        <f t="shared" si="0"/>
        <v>-45</v>
      </c>
      <c r="F14" s="218">
        <f t="shared" si="1"/>
        <v>-26.627218934911241</v>
      </c>
      <c r="G14" s="210">
        <v>97725.119999999995</v>
      </c>
      <c r="H14" s="123">
        <v>2</v>
      </c>
      <c r="I14" s="123">
        <v>423.3</v>
      </c>
      <c r="J14" s="171">
        <v>56</v>
      </c>
      <c r="K14" s="176">
        <f t="shared" si="2"/>
        <v>0.29293645168910937</v>
      </c>
    </row>
    <row r="15" spans="1:11" x14ac:dyDescent="0.25">
      <c r="A15" s="165">
        <v>5</v>
      </c>
      <c r="B15" s="207" t="s">
        <v>177</v>
      </c>
      <c r="C15" s="212">
        <v>816</v>
      </c>
      <c r="D15" s="214">
        <v>967</v>
      </c>
      <c r="E15" s="222">
        <f t="shared" si="0"/>
        <v>-151</v>
      </c>
      <c r="F15" s="218">
        <f t="shared" si="1"/>
        <v>-15.615305067218202</v>
      </c>
      <c r="G15" s="210">
        <v>358572.92</v>
      </c>
      <c r="H15" s="123">
        <v>2</v>
      </c>
      <c r="I15" s="123">
        <v>813.5</v>
      </c>
      <c r="J15" s="171">
        <v>29</v>
      </c>
      <c r="K15" s="176">
        <f t="shared" si="2"/>
        <v>1.0030731407498463</v>
      </c>
    </row>
    <row r="16" spans="1:11" x14ac:dyDescent="0.25">
      <c r="A16" s="165">
        <v>6</v>
      </c>
      <c r="B16" s="207" t="s">
        <v>178</v>
      </c>
      <c r="C16" s="212">
        <v>371</v>
      </c>
      <c r="D16" s="214">
        <v>452</v>
      </c>
      <c r="E16" s="222">
        <f t="shared" si="0"/>
        <v>-81</v>
      </c>
      <c r="F16" s="218">
        <f t="shared" si="1"/>
        <v>-17.920353982300881</v>
      </c>
      <c r="G16" s="210">
        <v>149287.67000000001</v>
      </c>
      <c r="H16" s="123">
        <v>3</v>
      </c>
      <c r="I16" s="123">
        <v>301.7</v>
      </c>
      <c r="J16" s="171">
        <v>17</v>
      </c>
      <c r="K16" s="176">
        <f t="shared" si="2"/>
        <v>1.2296983758700697</v>
      </c>
    </row>
    <row r="17" spans="1:11" x14ac:dyDescent="0.25">
      <c r="A17" s="165">
        <v>7</v>
      </c>
      <c r="B17" s="207" t="s">
        <v>179</v>
      </c>
      <c r="C17" s="212">
        <v>327</v>
      </c>
      <c r="D17" s="214">
        <v>386</v>
      </c>
      <c r="E17" s="222">
        <f t="shared" si="0"/>
        <v>-59</v>
      </c>
      <c r="F17" s="218">
        <f t="shared" si="1"/>
        <v>-15.284974093264253</v>
      </c>
      <c r="G17" s="210">
        <v>150369.56</v>
      </c>
      <c r="H17" s="123">
        <v>4</v>
      </c>
      <c r="I17" s="123">
        <v>625.1</v>
      </c>
      <c r="J17" s="171">
        <v>19</v>
      </c>
      <c r="K17" s="176">
        <f t="shared" si="2"/>
        <v>0.52311630139177734</v>
      </c>
    </row>
    <row r="18" spans="1:11" x14ac:dyDescent="0.25">
      <c r="A18" s="166">
        <v>8</v>
      </c>
      <c r="B18" s="208" t="s">
        <v>180</v>
      </c>
      <c r="C18" s="212">
        <v>299</v>
      </c>
      <c r="D18" s="214">
        <v>377</v>
      </c>
      <c r="E18" s="222">
        <f t="shared" si="0"/>
        <v>-78</v>
      </c>
      <c r="F18" s="218">
        <f t="shared" si="1"/>
        <v>-20.689655172413794</v>
      </c>
      <c r="G18" s="210">
        <v>180859.16</v>
      </c>
      <c r="H18" s="123">
        <v>4</v>
      </c>
      <c r="I18" s="123">
        <v>359.3</v>
      </c>
      <c r="J18" s="171">
        <v>47</v>
      </c>
      <c r="K18" s="176">
        <f t="shared" si="2"/>
        <v>0.83217367102699691</v>
      </c>
    </row>
    <row r="19" spans="1:11" x14ac:dyDescent="0.25">
      <c r="A19" s="165">
        <v>9</v>
      </c>
      <c r="B19" s="208" t="s">
        <v>181</v>
      </c>
      <c r="C19" s="212">
        <v>40</v>
      </c>
      <c r="D19" s="214">
        <v>73</v>
      </c>
      <c r="E19" s="222">
        <f t="shared" si="0"/>
        <v>-33</v>
      </c>
      <c r="F19" s="218">
        <f t="shared" si="1"/>
        <v>-45.205479452054796</v>
      </c>
      <c r="G19" s="210">
        <v>44198.06</v>
      </c>
      <c r="H19" s="123">
        <v>4</v>
      </c>
      <c r="I19" s="123">
        <v>647.4</v>
      </c>
      <c r="J19" s="171">
        <v>64</v>
      </c>
      <c r="K19" s="176">
        <f t="shared" si="2"/>
        <v>6.1785603954278658E-2</v>
      </c>
    </row>
    <row r="20" spans="1:11" ht="18" customHeight="1" x14ac:dyDescent="0.25">
      <c r="A20" s="165">
        <v>10</v>
      </c>
      <c r="B20" s="208" t="s">
        <v>182</v>
      </c>
      <c r="C20" s="212">
        <v>5139</v>
      </c>
      <c r="D20" s="214">
        <v>5675</v>
      </c>
      <c r="E20" s="222">
        <f t="shared" si="0"/>
        <v>-536</v>
      </c>
      <c r="F20" s="218">
        <f t="shared" si="1"/>
        <v>-9.4449339207048411</v>
      </c>
      <c r="G20" s="210">
        <v>4073600.96</v>
      </c>
      <c r="H20" s="123">
        <v>3</v>
      </c>
      <c r="I20" s="123">
        <v>155.9</v>
      </c>
      <c r="J20" s="171">
        <v>0</v>
      </c>
      <c r="K20" s="176">
        <f t="shared" si="2"/>
        <v>32.963438101347016</v>
      </c>
    </row>
    <row r="21" spans="1:11" ht="16.5" thickBot="1" x14ac:dyDescent="0.3">
      <c r="A21" s="166">
        <v>11</v>
      </c>
      <c r="B21" s="208" t="s">
        <v>183</v>
      </c>
      <c r="C21" s="212">
        <v>221</v>
      </c>
      <c r="D21" s="219">
        <v>264</v>
      </c>
      <c r="E21" s="223">
        <f t="shared" si="0"/>
        <v>-43</v>
      </c>
      <c r="F21" s="220">
        <f t="shared" si="1"/>
        <v>-16.287878787878782</v>
      </c>
      <c r="G21" s="210">
        <v>122706.07</v>
      </c>
      <c r="H21" s="123">
        <v>2</v>
      </c>
      <c r="I21" s="123">
        <v>443.9</v>
      </c>
      <c r="J21" s="171">
        <v>40</v>
      </c>
      <c r="K21" s="176">
        <f t="shared" si="2"/>
        <v>0.49785987835098</v>
      </c>
    </row>
    <row r="22" spans="1:11" ht="12.75" customHeight="1" x14ac:dyDescent="0.25">
      <c r="A22" s="167">
        <v>12</v>
      </c>
      <c r="B22" s="169"/>
      <c r="C22" s="163"/>
      <c r="D22" s="216"/>
      <c r="E22" s="216"/>
      <c r="F22" s="216"/>
      <c r="G22" s="172"/>
      <c r="H22" s="123"/>
      <c r="I22" s="123"/>
      <c r="J22" s="171"/>
      <c r="K22" s="177"/>
    </row>
    <row r="23" spans="1:11" ht="12.75" customHeight="1" x14ac:dyDescent="0.25">
      <c r="A23" s="167">
        <v>13</v>
      </c>
      <c r="B23" s="169"/>
      <c r="C23" s="163"/>
      <c r="D23" s="163"/>
      <c r="E23" s="163"/>
      <c r="F23" s="163"/>
      <c r="G23" s="123"/>
      <c r="H23" s="123"/>
      <c r="I23" s="123"/>
      <c r="J23" s="171"/>
      <c r="K23" s="177"/>
    </row>
    <row r="24" spans="1:11" ht="12.75" customHeight="1" thickBot="1" x14ac:dyDescent="0.25">
      <c r="A24" s="168">
        <v>14</v>
      </c>
      <c r="B24" s="170"/>
      <c r="C24" s="185"/>
      <c r="D24" s="185"/>
      <c r="E24" s="185"/>
      <c r="F24" s="185"/>
      <c r="G24" s="124"/>
      <c r="H24" s="175"/>
      <c r="I24" s="180"/>
      <c r="J24" s="183"/>
      <c r="K24" s="178"/>
    </row>
    <row r="25" spans="1:11" ht="16.5" thickBot="1" x14ac:dyDescent="0.25">
      <c r="A25" s="19"/>
      <c r="B25" s="161" t="s">
        <v>6</v>
      </c>
      <c r="C25" s="186">
        <f t="shared" ref="C25:K25" si="3">SUM(C11:C24)</f>
        <v>8285</v>
      </c>
      <c r="D25" s="186">
        <f>D11+D12+D13+D14+D15+D16+D17+D18+D19+D20+D21</f>
        <v>9481</v>
      </c>
      <c r="E25" s="186"/>
      <c r="F25" s="186"/>
      <c r="G25" s="188">
        <f t="shared" si="3"/>
        <v>5678421.1500000004</v>
      </c>
      <c r="H25" s="181">
        <f t="shared" si="3"/>
        <v>34</v>
      </c>
      <c r="I25" s="181">
        <f t="shared" si="3"/>
        <v>5221.4999999999991</v>
      </c>
      <c r="J25" s="184">
        <f t="shared" si="3"/>
        <v>335</v>
      </c>
      <c r="K25" s="179">
        <f t="shared" si="3"/>
        <v>39.517430186834154</v>
      </c>
    </row>
  </sheetData>
  <mergeCells count="6">
    <mergeCell ref="A2:K2"/>
    <mergeCell ref="B3:J3"/>
    <mergeCell ref="A5:A9"/>
    <mergeCell ref="B5:B8"/>
    <mergeCell ref="C5:K5"/>
    <mergeCell ref="H6:K7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Исходные данные</vt:lpstr>
      <vt:lpstr>Расчет КРП</vt:lpstr>
      <vt:lpstr>Расчет дотации</vt:lpstr>
      <vt:lpstr>Лист1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  <vt:lpstr>'Расчет КРП'!Область_печати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SIDOROVASA</cp:lastModifiedBy>
  <cp:lastPrinted>2024-10-09T08:52:06Z</cp:lastPrinted>
  <dcterms:created xsi:type="dcterms:W3CDTF">2013-11-15T09:40:24Z</dcterms:created>
  <dcterms:modified xsi:type="dcterms:W3CDTF">2024-10-10T04:12:01Z</dcterms:modified>
</cp:coreProperties>
</file>