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DOROVASA\Desktop\2024\Планирование бюджета 2025-2027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/>
</workbook>
</file>

<file path=xl/calcChain.xml><?xml version="1.0" encoding="utf-8"?>
<calcChain xmlns="http://schemas.openxmlformats.org/spreadsheetml/2006/main"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K19" i="4"/>
  <c r="GI20" i="4"/>
  <c r="GK9" i="4"/>
  <c r="GJ20" i="4"/>
  <c r="GK20" i="4" s="1"/>
  <c r="GK21" i="4" l="1"/>
  <c r="GL9" i="4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<sst xmlns="http://schemas.openxmlformats.org/spreadsheetml/2006/main" count="1501" uniqueCount="215">
  <si>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</si>
  <si>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</si>
  <si>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</si>
  <si>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</si>
  <si>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</si>
  <si>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</si>
  <si>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</si>
  <si>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</si>
  <si>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</si>
  <si>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</si>
  <si>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</si>
  <si>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</si>
  <si>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</si>
  <si>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</si>
  <si>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</si>
  <si>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</si>
  <si>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</si>
  <si>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</si>
  <si>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</si>
  <si>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</si>
  <si>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</si>
  <si>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</si>
  <si>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</si>
  <si>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</si>
  <si>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</si>
  <si>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</si>
  <si>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</si>
  <si>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</si>
  <si>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</si>
  <si>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</si>
  <si>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</si>
  <si>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</si>
  <si>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</si>
  <si>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</si>
  <si>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</si>
  <si>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</si>
  <si>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</si>
  <si>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</si>
  <si>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</si>
  <si>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</si>
  <si>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</si>
  <si>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</si>
  <si>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</si>
  <si>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</si>
  <si>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</si>
  <si>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</si>
  <si>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</si>
  <si>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</si>
  <si>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</si>
  <si>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</si>
  <si>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</si>
  <si>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</si>
  <si>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</si>
  <si>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</si>
  <si>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</si>
  <si>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</si>
  <si>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</si>
  <si>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</si>
  <si>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</si>
  <si>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</si>
  <si>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</si>
  <si>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</si>
  <si>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</si>
  <si>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</si>
  <si>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</si>
  <si>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</si>
  <si>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</si>
  <si>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</si>
  <si>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</si>
  <si>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</si>
  <si>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</si>
  <si>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</si>
  <si>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</si>
  <si>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</si>
  <si>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</si>
  <si>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</si>
  <si>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</si>
  <si>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</si>
  <si>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</si>
  <si>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</si>
  <si>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</si>
  <si>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</si>
  <si>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</si>
  <si>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</si>
  <si>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</si>
  <si>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</si>
  <si>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</si>
  <si>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</si>
  <si>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</si>
  <si>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</si>
  <si>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</si>
  <si>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</si>
  <si>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</si>
  <si>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</si>
  <si>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</si>
  <si>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</si>
  <si>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</si>
  <si>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</si>
  <si>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</si>
  <si>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</si>
  <si>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</si>
  <si>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</si>
  <si>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</si>
  <si>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</si>
  <si>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</si>
  <si>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</si>
  <si>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</si>
  <si>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</si>
  <si>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</si>
  <si>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</si>
  <si>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</si>
  <si>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</si>
  <si>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</si>
  <si>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</si>
  <si>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</si>
  <si>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</si>
  <si>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</si>
  <si>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</si>
  <si>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</si>
  <si>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</si>
  <si>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</si>
  <si>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</si>
  <si>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</si>
  <si>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</si>
  <si>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</si>
  <si>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</si>
  <si>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</si>
  <si>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</si>
  <si>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</si>
  <si>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</si>
  <si>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</si>
  <si>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</si>
  <si>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</si>
  <si>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</si>
  <si>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</si>
  <si>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</si>
  <si>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</si>
  <si>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</si>
  <si>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</si>
  <si>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</si>
  <si>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</si>
  <si>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</si>
  <si>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</si>
  <si>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</si>
  <si>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</si>
  <si>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</si>
  <si>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</si>
  <si>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</si>
  <si>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</si>
  <si>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</si>
  <si>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</si>
  <si>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</si>
  <si>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</si>
  <si>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</si>
  <si>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</si>
  <si>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</si>
  <si>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</si>
  <si>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</si>
  <si>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</si>
  <si>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</si>
  <si>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</si>
  <si>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</si>
  <si>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</si>
  <si>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</si>
  <si>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</si>
  <si>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</si>
  <si>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</si>
  <si>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</si>
  <si>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</si>
  <si>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</si>
  <si>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</si>
  <si>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</si>
  <si>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</si>
  <si>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</si>
  <si>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</si>
  <si>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</si>
  <si>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</si>
  <si>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</si>
  <si>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</si>
  <si>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</si>
  <si>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</si>
  <si>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</si>
  <si>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</si>
  <si>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</si>
  <si>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</si>
  <si>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</si>
  <si>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</si>
  <si>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</si>
  <si>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</si>
  <si>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</si>
  <si>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</si>
  <si>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</si>
  <si>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</si>
  <si>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</si>
  <si>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</si>
  <si>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</si>
  <si>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</si>
  <si>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</si>
  <si>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</si>
  <si>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</si>
  <si>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</si>
  <si>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</si>
  <si>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</si>
  <si>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</si>
  <si>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</si>
  <si>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</si>
  <si>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</si>
  <si>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</si>
  <si>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</si>
  <si>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</si>
  <si>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</si>
  <si>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</si>
  <si>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2026 год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</si>
  <si>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2026 год</t>
  </si>
  <si>
    <t>Объем дотаций, распределенный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</si>
</sst>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4" fontId="21" fillId="47" borderId="25" xfId="0" applyNumberFormat="1" applyFont="1" applyFill="1" applyBorder="1" applyAlignment="1">
      <alignment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D21" sqref="D21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0" t="s">
        <v>72</v>
      </c>
      <c r="B2" s="260"/>
      <c r="C2" s="260"/>
      <c r="D2" s="260"/>
      <c r="E2" s="260"/>
      <c r="F2" s="260"/>
      <c r="G2" s="260"/>
      <c r="H2" s="260"/>
    </row>
    <row r="3" spans="1:8" s="4" customFormat="1" ht="16.5" x14ac:dyDescent="0.2">
      <c r="B3" s="253"/>
      <c r="C3" s="253"/>
      <c r="D3" s="253"/>
      <c r="E3" s="253"/>
      <c r="F3" s="253"/>
      <c r="G3" s="253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67" t="s">
        <v>0</v>
      </c>
      <c r="B5" s="254" t="s">
        <v>7</v>
      </c>
      <c r="C5" s="257" t="s">
        <v>56</v>
      </c>
      <c r="D5" s="258"/>
      <c r="E5" s="258"/>
      <c r="F5" s="258"/>
      <c r="G5" s="258"/>
      <c r="H5" s="259"/>
    </row>
    <row r="6" spans="1:8" s="7" customFormat="1" ht="51.6" customHeight="1" x14ac:dyDescent="0.2">
      <c r="A6" s="268"/>
      <c r="B6" s="255"/>
      <c r="C6" s="85" t="s">
        <v>188</v>
      </c>
      <c r="D6" s="85" t="s">
        <v>62</v>
      </c>
      <c r="E6" s="261" t="s">
        <v>70</v>
      </c>
      <c r="F6" s="262"/>
      <c r="G6" s="262"/>
      <c r="H6" s="263"/>
    </row>
    <row r="7" spans="1:8" s="7" customFormat="1" ht="24" customHeight="1" thickBot="1" x14ac:dyDescent="0.25">
      <c r="A7" s="268"/>
      <c r="B7" s="255"/>
      <c r="C7" s="159" t="s">
        <v>206</v>
      </c>
      <c r="D7" s="160" t="s">
        <v>212</v>
      </c>
      <c r="E7" s="264"/>
      <c r="F7" s="265"/>
      <c r="G7" s="265"/>
      <c r="H7" s="266"/>
    </row>
    <row r="8" spans="1:8" s="7" customFormat="1" ht="86.25" customHeight="1" thickBot="1" x14ac:dyDescent="0.25">
      <c r="A8" s="268"/>
      <c r="B8" s="256"/>
      <c r="C8" s="158" t="s">
        <v>1</v>
      </c>
      <c r="D8" s="158" t="s">
        <v>2</v>
      </c>
      <c r="E8" s="156" t="s">
        <v>207</v>
      </c>
      <c r="F8" s="157" t="s">
        <v>208</v>
      </c>
      <c r="G8" s="86" t="s">
        <v>209</v>
      </c>
      <c r="H8" s="162" t="s">
        <v>210</v>
      </c>
    </row>
    <row r="9" spans="1:8" s="8" customFormat="1" thickBot="1" x14ac:dyDescent="0.25">
      <c r="A9" s="269"/>
      <c r="B9" s="93" t="s">
        <v>3</v>
      </c>
      <c r="C9" s="173" t="s">
        <v>5</v>
      </c>
      <c r="D9" s="93" t="s">
        <v>4</v>
      </c>
      <c r="E9" s="189" t="s">
        <v>184</v>
      </c>
      <c r="F9" s="189" t="s">
        <v>185</v>
      </c>
      <c r="G9" s="190" t="s">
        <v>186</v>
      </c>
      <c r="H9" s="153" t="s">
        <v>187</v>
      </c>
    </row>
    <row r="10" spans="1:8" s="8" customFormat="1" thickBot="1" x14ac:dyDescent="0.25">
      <c r="A10" s="34">
        <v>1</v>
      </c>
      <c r="B10" s="152">
        <v>2</v>
      </c>
      <c r="C10" s="211">
        <v>3</v>
      </c>
      <c r="D10" s="187">
        <v>4</v>
      </c>
      <c r="E10" s="173">
        <v>5</v>
      </c>
      <c r="F10" s="173">
        <v>6</v>
      </c>
      <c r="G10" s="191">
        <v>7</v>
      </c>
      <c r="H10" s="173">
        <v>8</v>
      </c>
    </row>
    <row r="11" spans="1:8" x14ac:dyDescent="0.25">
      <c r="A11" s="164">
        <v>1</v>
      </c>
      <c r="B11" s="203" t="s">
        <v>173</v>
      </c>
      <c r="C11" s="212">
        <v>93</v>
      </c>
      <c r="D11" s="209">
        <v>24937</v>
      </c>
      <c r="E11" s="174">
        <v>2</v>
      </c>
      <c r="F11" s="174">
        <v>312.3</v>
      </c>
      <c r="G11" s="182">
        <v>44</v>
      </c>
      <c r="H11" s="193">
        <f>C11/F11</f>
        <v>0.297790585975024</v>
      </c>
    </row>
    <row r="12" spans="1:8" x14ac:dyDescent="0.25">
      <c r="A12" s="165">
        <v>2</v>
      </c>
      <c r="B12" s="207" t="s">
        <v>174</v>
      </c>
      <c r="C12" s="212">
        <v>454</v>
      </c>
      <c r="D12" s="210">
        <v>303979</v>
      </c>
      <c r="E12" s="123">
        <v>5</v>
      </c>
      <c r="F12" s="123">
        <v>366.5</v>
      </c>
      <c r="G12" s="171">
        <v>7</v>
      </c>
      <c r="H12" s="176">
        <f t="shared" ref="H12:H21" si="0">C12/F12</f>
        <v>1.2387448840381992</v>
      </c>
    </row>
    <row r="13" spans="1:8" x14ac:dyDescent="0.25">
      <c r="A13" s="165">
        <v>3</v>
      </c>
      <c r="B13" s="207" t="s">
        <v>175</v>
      </c>
      <c r="C13" s="212">
        <v>345</v>
      </c>
      <c r="D13" s="210">
        <v>244272</v>
      </c>
      <c r="E13" s="123">
        <v>3</v>
      </c>
      <c r="F13" s="123">
        <v>772.6</v>
      </c>
      <c r="G13" s="171">
        <v>12</v>
      </c>
      <c r="H13" s="176">
        <f t="shared" si="0"/>
        <v>0.44654413668133575</v>
      </c>
    </row>
    <row r="14" spans="1:8" x14ac:dyDescent="0.25">
      <c r="A14" s="165">
        <v>4</v>
      </c>
      <c r="B14" s="207" t="s">
        <v>176</v>
      </c>
      <c r="C14" s="212">
        <v>99</v>
      </c>
      <c r="D14" s="210">
        <v>72176</v>
      </c>
      <c r="E14" s="123">
        <v>2</v>
      </c>
      <c r="F14" s="123">
        <v>423.3</v>
      </c>
      <c r="G14" s="171">
        <v>56</v>
      </c>
      <c r="H14" s="176">
        <f t="shared" si="0"/>
        <v>0.23387668320340183</v>
      </c>
    </row>
    <row r="15" spans="1:8" x14ac:dyDescent="0.25">
      <c r="A15" s="165">
        <v>5</v>
      </c>
      <c r="B15" s="207" t="s">
        <v>177</v>
      </c>
      <c r="C15" s="212">
        <v>781</v>
      </c>
      <c r="D15" s="210">
        <v>360237</v>
      </c>
      <c r="E15" s="123">
        <v>2</v>
      </c>
      <c r="F15" s="123">
        <v>813.5</v>
      </c>
      <c r="G15" s="171">
        <v>29</v>
      </c>
      <c r="H15" s="176">
        <f t="shared" si="0"/>
        <v>0.96004917025199754</v>
      </c>
    </row>
    <row r="16" spans="1:8" x14ac:dyDescent="0.25">
      <c r="A16" s="165">
        <v>6</v>
      </c>
      <c r="B16" s="207" t="s">
        <v>178</v>
      </c>
      <c r="C16" s="212">
        <v>354</v>
      </c>
      <c r="D16" s="210">
        <v>192604</v>
      </c>
      <c r="E16" s="123">
        <v>3</v>
      </c>
      <c r="F16" s="123">
        <v>301.7</v>
      </c>
      <c r="G16" s="171">
        <v>17</v>
      </c>
      <c r="H16" s="176">
        <f t="shared" si="0"/>
        <v>1.1733510109380179</v>
      </c>
    </row>
    <row r="17" spans="1:8" x14ac:dyDescent="0.25">
      <c r="A17" s="165">
        <v>7</v>
      </c>
      <c r="B17" s="207" t="s">
        <v>179</v>
      </c>
      <c r="C17" s="212">
        <v>333</v>
      </c>
      <c r="D17" s="210">
        <v>145675</v>
      </c>
      <c r="E17" s="123">
        <v>4</v>
      </c>
      <c r="F17" s="123">
        <v>625.1</v>
      </c>
      <c r="G17" s="171">
        <v>19</v>
      </c>
      <c r="H17" s="176">
        <f t="shared" si="0"/>
        <v>0.53271476563749798</v>
      </c>
    </row>
    <row r="18" spans="1:8" x14ac:dyDescent="0.25">
      <c r="A18" s="166">
        <v>8</v>
      </c>
      <c r="B18" s="208" t="s">
        <v>180</v>
      </c>
      <c r="C18" s="212">
        <v>292</v>
      </c>
      <c r="D18" s="210">
        <v>219486</v>
      </c>
      <c r="E18" s="123">
        <v>4</v>
      </c>
      <c r="F18" s="123">
        <v>359.3</v>
      </c>
      <c r="G18" s="171">
        <v>47</v>
      </c>
      <c r="H18" s="176">
        <f t="shared" si="0"/>
        <v>0.81269134428054546</v>
      </c>
    </row>
    <row r="19" spans="1:8" x14ac:dyDescent="0.25">
      <c r="A19" s="165">
        <v>9</v>
      </c>
      <c r="B19" s="208" t="s">
        <v>181</v>
      </c>
      <c r="C19" s="212">
        <v>40</v>
      </c>
      <c r="D19" s="210">
        <v>32502</v>
      </c>
      <c r="E19" s="123">
        <v>4</v>
      </c>
      <c r="F19" s="123">
        <v>647.4</v>
      </c>
      <c r="G19" s="171">
        <v>64</v>
      </c>
      <c r="H19" s="176">
        <f t="shared" si="0"/>
        <v>6.1785603954278658E-2</v>
      </c>
    </row>
    <row r="20" spans="1:8" ht="18" customHeight="1" x14ac:dyDescent="0.25">
      <c r="A20" s="165">
        <v>10</v>
      </c>
      <c r="B20" s="208" t="s">
        <v>182</v>
      </c>
      <c r="C20" s="212">
        <v>5152</v>
      </c>
      <c r="D20" s="210">
        <v>5083223</v>
      </c>
      <c r="E20" s="123">
        <v>3</v>
      </c>
      <c r="F20" s="123">
        <v>155.9</v>
      </c>
      <c r="G20" s="171">
        <v>0</v>
      </c>
      <c r="H20" s="176">
        <f t="shared" si="0"/>
        <v>33.046824887748556</v>
      </c>
    </row>
    <row r="21" spans="1:8" x14ac:dyDescent="0.25">
      <c r="A21" s="166">
        <v>11</v>
      </c>
      <c r="B21" s="208" t="s">
        <v>183</v>
      </c>
      <c r="C21" s="212">
        <v>194</v>
      </c>
      <c r="D21" s="210">
        <v>162852</v>
      </c>
      <c r="E21" s="123">
        <v>2</v>
      </c>
      <c r="F21" s="123">
        <v>443.9</v>
      </c>
      <c r="G21" s="171">
        <v>40</v>
      </c>
      <c r="H21" s="176">
        <f t="shared" si="0"/>
        <v>0.4370353683261996</v>
      </c>
    </row>
    <row r="22" spans="1:8" ht="12.75" customHeight="1" x14ac:dyDescent="0.25">
      <c r="A22" s="167">
        <v>12</v>
      </c>
      <c r="B22" s="169"/>
      <c r="C22" s="163"/>
      <c r="D22" s="172"/>
      <c r="E22" s="123"/>
      <c r="F22" s="123"/>
      <c r="G22" s="171"/>
      <c r="H22" s="177"/>
    </row>
    <row r="23" spans="1:8" ht="12.75" customHeight="1" x14ac:dyDescent="0.25">
      <c r="A23" s="167">
        <v>13</v>
      </c>
      <c r="B23" s="169"/>
      <c r="C23" s="163"/>
      <c r="D23" s="123"/>
      <c r="E23" s="123"/>
      <c r="F23" s="123"/>
      <c r="G23" s="171"/>
      <c r="H23" s="177"/>
    </row>
    <row r="24" spans="1:8" ht="12.75" customHeight="1" thickBot="1" x14ac:dyDescent="0.25">
      <c r="A24" s="168">
        <v>14</v>
      </c>
      <c r="B24" s="170"/>
      <c r="C24" s="185"/>
      <c r="D24" s="124"/>
      <c r="E24" s="175"/>
      <c r="F24" s="180"/>
      <c r="G24" s="183"/>
      <c r="H24" s="178"/>
    </row>
    <row r="25" spans="1:8" ht="16.5" thickBot="1" x14ac:dyDescent="0.25">
      <c r="A25" s="19"/>
      <c r="B25" s="161" t="s">
        <v>6</v>
      </c>
      <c r="C25" s="186">
        <f t="shared" ref="C25:H25" si="1">SUM(C11:C24)</f>
        <v>8137</v>
      </c>
      <c r="D25" s="188">
        <f t="shared" si="1"/>
        <v>6841943</v>
      </c>
      <c r="E25" s="181">
        <f t="shared" si="1"/>
        <v>34</v>
      </c>
      <c r="F25" s="181">
        <f t="shared" si="1"/>
        <v>5221.4999999999991</v>
      </c>
      <c r="G25" s="184">
        <f t="shared" si="1"/>
        <v>335</v>
      </c>
      <c r="H25" s="179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0" t="s">
        <v>63</v>
      </c>
      <c r="B2" s="270"/>
      <c r="C2" s="270"/>
      <c r="D2" s="270"/>
      <c r="E2" s="270"/>
      <c r="F2" s="270"/>
      <c r="G2" s="270"/>
    </row>
    <row r="3" spans="1:8" ht="16.5" thickBot="1" x14ac:dyDescent="0.25">
      <c r="B3" s="12"/>
    </row>
    <row r="4" spans="1:8" s="7" customFormat="1" ht="88.5" customHeight="1" thickBot="1" x14ac:dyDescent="0.25">
      <c r="A4" s="271" t="s">
        <v>0</v>
      </c>
      <c r="B4" s="271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3" t="s">
        <v>198</v>
      </c>
    </row>
    <row r="5" spans="1:8" s="13" customFormat="1" ht="211.5" customHeight="1" thickBot="1" x14ac:dyDescent="0.25">
      <c r="A5" s="272"/>
      <c r="B5" s="272"/>
      <c r="C5" s="192" t="s">
        <v>195</v>
      </c>
      <c r="D5" s="192" t="s">
        <v>196</v>
      </c>
      <c r="E5" s="192" t="s">
        <v>197</v>
      </c>
      <c r="F5" s="192" t="s">
        <v>211</v>
      </c>
      <c r="G5" s="274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2">
        <v>1</v>
      </c>
      <c r="B7" s="203" t="s">
        <v>173</v>
      </c>
      <c r="C7" s="224">
        <f>1+((('Исходные данные'!E11/'Исходные данные'!F11)/('Исходные данные'!$E$25/'Исходные данные'!$F$25))/11)</f>
        <v>1.0894090934775797</v>
      </c>
      <c r="D7" s="224">
        <f>2-((AVERAGE('Исходные данные'!$G$11:$G$21))/('Исходные данные'!G11+(AVERAGE('Исходные данные'!$G$11:$G$21))))</f>
        <v>1.5909645909645911</v>
      </c>
      <c r="E7" s="225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5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6">
        <f>1+(C7*D7*E7*F7)</f>
        <v>17.91472169161521</v>
      </c>
      <c r="H7" s="18"/>
    </row>
    <row r="8" spans="1:8" s="15" customFormat="1" x14ac:dyDescent="0.25">
      <c r="A8" s="79">
        <v>2</v>
      </c>
      <c r="B8" s="207" t="s">
        <v>174</v>
      </c>
      <c r="C8" s="230">
        <f>1+((('Исходные данные'!E12/'Исходные данные'!F12)/('Исходные данные'!$E$25/'Исходные данные'!$F$25))/11)</f>
        <v>1.1904669842636297</v>
      </c>
      <c r="D8" s="230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49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0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7" t="s">
        <v>175</v>
      </c>
      <c r="C9" s="230">
        <f>1+((('Исходные данные'!E13/'Исходные данные'!F13)/('Исходные данные'!$E$25/'Исходные данные'!$F$25))/11)</f>
        <v>1.0542113510737408</v>
      </c>
      <c r="D9" s="230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49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0">
        <f t="shared" si="1"/>
        <v>7.1603011701930406</v>
      </c>
      <c r="H9" s="18"/>
    </row>
    <row r="10" spans="1:8" s="15" customFormat="1" x14ac:dyDescent="0.25">
      <c r="A10" s="79">
        <v>4</v>
      </c>
      <c r="B10" s="207" t="s">
        <v>176</v>
      </c>
      <c r="C10" s="230">
        <f>1+((('Исходные данные'!E14/'Исходные данные'!F14)/('Исходные данные'!$E$25/'Исходные данные'!$F$25))/11)</f>
        <v>1.0659637606733949</v>
      </c>
      <c r="D10" s="230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49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0">
        <f t="shared" si="1"/>
        <v>18.157114801623248</v>
      </c>
      <c r="H10" s="18"/>
    </row>
    <row r="11" spans="1:8" s="15" customFormat="1" x14ac:dyDescent="0.25">
      <c r="A11" s="80">
        <v>5</v>
      </c>
      <c r="B11" s="207" t="s">
        <v>177</v>
      </c>
      <c r="C11" s="230">
        <f>1+((('Исходные данные'!E15/'Исходные данные'!F15)/('Исходные данные'!$E$25/'Исходные данные'!$F$25))/11)</f>
        <v>1.0343238597333104</v>
      </c>
      <c r="D11" s="230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49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0">
        <f t="shared" si="1"/>
        <v>6.4152924698032363</v>
      </c>
      <c r="H11" s="18"/>
    </row>
    <row r="12" spans="1:8" s="15" customFormat="1" x14ac:dyDescent="0.25">
      <c r="A12" s="79">
        <v>6</v>
      </c>
      <c r="B12" s="207" t="s">
        <v>178</v>
      </c>
      <c r="C12" s="230">
        <f>1+((('Исходные данные'!E16/'Исходные данные'!F16)/('Исходные данные'!$E$25/'Исходные данные'!$F$25))/11)</f>
        <v>1.1388256209465435</v>
      </c>
      <c r="D12" s="230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49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0">
        <f t="shared" si="1"/>
        <v>7.9728886319877086</v>
      </c>
      <c r="H12" s="18"/>
    </row>
    <row r="13" spans="1:8" s="15" customFormat="1" x14ac:dyDescent="0.25">
      <c r="A13" s="80">
        <v>7</v>
      </c>
      <c r="B13" s="207" t="s">
        <v>179</v>
      </c>
      <c r="C13" s="230">
        <f>1+((('Исходные данные'!E17/'Исходные данные'!F17)/('Исходные данные'!$E$25/'Исходные данные'!$F$25))/11)</f>
        <v>1.0893375776453307</v>
      </c>
      <c r="D13" s="230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49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0">
        <f t="shared" si="1"/>
        <v>7.8609120505546572</v>
      </c>
      <c r="H13" s="18"/>
    </row>
    <row r="14" spans="1:8" s="15" customFormat="1" x14ac:dyDescent="0.25">
      <c r="A14" s="79">
        <v>8</v>
      </c>
      <c r="B14" s="208" t="s">
        <v>180</v>
      </c>
      <c r="C14" s="230">
        <f>1+((('Исходные данные'!E18/'Исходные данные'!F18)/('Исходные данные'!$E$25/'Исходные данные'!$F$25))/11)</f>
        <v>1.1554269963431567</v>
      </c>
      <c r="D14" s="230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49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0">
        <f t="shared" si="1"/>
        <v>9.8008161850285056</v>
      </c>
      <c r="H14" s="18"/>
    </row>
    <row r="15" spans="1:8" s="15" customFormat="1" x14ac:dyDescent="0.25">
      <c r="A15" s="80">
        <v>9</v>
      </c>
      <c r="B15" s="208" t="s">
        <v>181</v>
      </c>
      <c r="C15" s="230">
        <f>1+((('Исходные данные'!E19/'Исходные данные'!F19)/('Исходные данные'!$E$25/'Исходные данные'!$F$25))/11)</f>
        <v>1.0862603024190551</v>
      </c>
      <c r="D15" s="230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49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0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8" t="s">
        <v>182</v>
      </c>
      <c r="C16" s="230">
        <f>1+((('Исходные данные'!E20/'Исходные данные'!F20)/('Исходные данные'!$E$25/'Исходные данные'!$F$25))/11)</f>
        <v>1.2686574075662103</v>
      </c>
      <c r="D16" s="230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49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0">
        <f t="shared" si="1"/>
        <v>2.8351129400445227</v>
      </c>
      <c r="H16" s="18"/>
    </row>
    <row r="17" spans="1:8" s="15" customFormat="1" ht="16.5" thickBot="1" x14ac:dyDescent="0.3">
      <c r="A17" s="204">
        <v>11</v>
      </c>
      <c r="B17" s="205" t="s">
        <v>183</v>
      </c>
      <c r="C17" s="231">
        <f>1+((('Исходные данные'!E21/'Исходные данные'!F21)/('Исходные данные'!$E$25/'Исходные данные'!$F$25))/11)</f>
        <v>1.0629025904326384</v>
      </c>
      <c r="D17" s="231">
        <f>2-((AVERAGE('Исходные данные'!$G$11:$G$21))/('Исходные данные'!G21+(AVERAGE('Исходные данные'!$G$11:$G$21))))</f>
        <v>1.5677419354838711</v>
      </c>
      <c r="E17" s="232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1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2">
        <f t="shared" si="1"/>
        <v>9.978831738486333</v>
      </c>
      <c r="H17" s="18"/>
    </row>
    <row r="18" spans="1:8" hidden="1" x14ac:dyDescent="0.25">
      <c r="A18" s="200">
        <v>12</v>
      </c>
      <c r="B18" s="201"/>
      <c r="C18" s="247" t="e">
        <f>1+((('Исходные данные'!E22/'Исходные данные'!F22)/('Исходные данные'!$E$25/'Исходные данные'!$F$25))/11)</f>
        <v>#DIV/0!</v>
      </c>
      <c r="D18" s="199">
        <f>2-((AVERAGE('Исходные данные'!$G$11:$G$21))/('Исходные данные'!G22+(AVERAGE('Исходные данные'!$G$11:$G$21))))</f>
        <v>1</v>
      </c>
      <c r="E18" s="199"/>
      <c r="F18" s="248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8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4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5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5" t="e">
        <f t="shared" si="2"/>
        <v>#DIV/0!</v>
      </c>
    </row>
    <row r="20" spans="1:8" x14ac:dyDescent="0.2">
      <c r="F20" s="154"/>
    </row>
    <row r="21" spans="1:8" ht="116.25" customHeight="1" x14ac:dyDescent="0.2">
      <c r="A21" s="275" t="s">
        <v>82</v>
      </c>
      <c r="B21" s="275"/>
      <c r="C21" s="275"/>
      <c r="D21" s="275"/>
      <c r="E21" s="275"/>
      <c r="F21" s="275"/>
      <c r="G21" s="275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Q1" zoomScale="60" zoomScaleNormal="60" workbookViewId="0">
      <selection activeCell="GM6" sqref="GM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5" width="18.140625" style="16" customWidth="1"/>
    <col min="196" max="196" width="22.42578125" style="16" customWidth="1"/>
    <col min="197" max="16384" width="15.28515625" style="16"/>
  </cols>
  <sheetData>
    <row r="1" spans="1:196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3" customFormat="1" ht="34.5" customHeight="1" thickBot="1" x14ac:dyDescent="0.25">
      <c r="A3" s="291" t="s">
        <v>7</v>
      </c>
      <c r="B3" s="294" t="s">
        <v>58</v>
      </c>
      <c r="C3" s="297" t="s">
        <v>9</v>
      </c>
      <c r="D3" s="298"/>
      <c r="E3" s="298"/>
      <c r="F3" s="299"/>
      <c r="G3" s="308" t="s">
        <v>59</v>
      </c>
      <c r="H3" s="309"/>
      <c r="I3" s="309"/>
      <c r="J3" s="310"/>
      <c r="K3" s="279" t="s">
        <v>79</v>
      </c>
      <c r="L3" s="64" t="s">
        <v>51</v>
      </c>
      <c r="M3" s="276" t="s">
        <v>75</v>
      </c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8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313" t="s">
        <v>80</v>
      </c>
      <c r="GK3" s="288" t="s">
        <v>81</v>
      </c>
      <c r="GL3" s="316" t="s">
        <v>78</v>
      </c>
      <c r="GM3" s="239"/>
    </row>
    <row r="4" spans="1:196" s="23" customFormat="1" ht="29.25" customHeight="1" x14ac:dyDescent="0.2">
      <c r="A4" s="292"/>
      <c r="B4" s="295"/>
      <c r="C4" s="302" t="s">
        <v>10</v>
      </c>
      <c r="D4" s="303"/>
      <c r="E4" s="302" t="s">
        <v>11</v>
      </c>
      <c r="F4" s="303"/>
      <c r="G4" s="304" t="s">
        <v>189</v>
      </c>
      <c r="H4" s="286" t="s">
        <v>12</v>
      </c>
      <c r="I4" s="286" t="s">
        <v>64</v>
      </c>
      <c r="J4" s="311" t="s">
        <v>67</v>
      </c>
      <c r="K4" s="280"/>
      <c r="L4" s="306" t="s">
        <v>76</v>
      </c>
      <c r="M4" s="282" t="s">
        <v>13</v>
      </c>
      <c r="N4" s="283"/>
      <c r="O4" s="283"/>
      <c r="P4" s="283"/>
      <c r="Q4" s="284"/>
      <c r="R4" s="282" t="s">
        <v>14</v>
      </c>
      <c r="S4" s="283"/>
      <c r="T4" s="283"/>
      <c r="U4" s="283"/>
      <c r="V4" s="283"/>
      <c r="W4" s="284"/>
      <c r="X4" s="282" t="s">
        <v>15</v>
      </c>
      <c r="Y4" s="283"/>
      <c r="Z4" s="283"/>
      <c r="AA4" s="283"/>
      <c r="AB4" s="283"/>
      <c r="AC4" s="284"/>
      <c r="AD4" s="282" t="s">
        <v>16</v>
      </c>
      <c r="AE4" s="283"/>
      <c r="AF4" s="283"/>
      <c r="AG4" s="283"/>
      <c r="AH4" s="283"/>
      <c r="AI4" s="284"/>
      <c r="AJ4" s="282" t="s">
        <v>17</v>
      </c>
      <c r="AK4" s="283"/>
      <c r="AL4" s="283"/>
      <c r="AM4" s="283"/>
      <c r="AN4" s="283"/>
      <c r="AO4" s="284"/>
      <c r="AP4" s="282" t="s">
        <v>18</v>
      </c>
      <c r="AQ4" s="283"/>
      <c r="AR4" s="283"/>
      <c r="AS4" s="283"/>
      <c r="AT4" s="283"/>
      <c r="AU4" s="284"/>
      <c r="AV4" s="282" t="s">
        <v>19</v>
      </c>
      <c r="AW4" s="283"/>
      <c r="AX4" s="283"/>
      <c r="AY4" s="283"/>
      <c r="AZ4" s="283"/>
      <c r="BA4" s="284"/>
      <c r="BB4" s="282" t="s">
        <v>20</v>
      </c>
      <c r="BC4" s="283"/>
      <c r="BD4" s="283"/>
      <c r="BE4" s="283"/>
      <c r="BF4" s="283"/>
      <c r="BG4" s="284"/>
      <c r="BH4" s="282" t="s">
        <v>21</v>
      </c>
      <c r="BI4" s="283"/>
      <c r="BJ4" s="283"/>
      <c r="BK4" s="283"/>
      <c r="BL4" s="283"/>
      <c r="BM4" s="284"/>
      <c r="BN4" s="282" t="s">
        <v>22</v>
      </c>
      <c r="BO4" s="283"/>
      <c r="BP4" s="283"/>
      <c r="BQ4" s="283"/>
      <c r="BR4" s="283"/>
      <c r="BS4" s="285"/>
      <c r="BT4" s="282" t="s">
        <v>84</v>
      </c>
      <c r="BU4" s="283"/>
      <c r="BV4" s="283"/>
      <c r="BW4" s="283"/>
      <c r="BX4" s="283"/>
      <c r="BY4" s="285"/>
      <c r="BZ4" s="282" t="s">
        <v>87</v>
      </c>
      <c r="CA4" s="283"/>
      <c r="CB4" s="283"/>
      <c r="CC4" s="283"/>
      <c r="CD4" s="283"/>
      <c r="CE4" s="285"/>
      <c r="CF4" s="282" t="s">
        <v>88</v>
      </c>
      <c r="CG4" s="283"/>
      <c r="CH4" s="283"/>
      <c r="CI4" s="283"/>
      <c r="CJ4" s="283"/>
      <c r="CK4" s="285"/>
      <c r="CL4" s="282" t="s">
        <v>93</v>
      </c>
      <c r="CM4" s="283"/>
      <c r="CN4" s="283"/>
      <c r="CO4" s="283"/>
      <c r="CP4" s="283"/>
      <c r="CQ4" s="285"/>
      <c r="CR4" s="282" t="s">
        <v>96</v>
      </c>
      <c r="CS4" s="283"/>
      <c r="CT4" s="283"/>
      <c r="CU4" s="283"/>
      <c r="CV4" s="283"/>
      <c r="CW4" s="285"/>
      <c r="CX4" s="282" t="s">
        <v>99</v>
      </c>
      <c r="CY4" s="283"/>
      <c r="CZ4" s="283"/>
      <c r="DA4" s="283"/>
      <c r="DB4" s="283"/>
      <c r="DC4" s="285"/>
      <c r="DD4" s="282" t="s">
        <v>102</v>
      </c>
      <c r="DE4" s="283"/>
      <c r="DF4" s="283"/>
      <c r="DG4" s="283"/>
      <c r="DH4" s="283"/>
      <c r="DI4" s="285"/>
      <c r="DJ4" s="282" t="s">
        <v>105</v>
      </c>
      <c r="DK4" s="283"/>
      <c r="DL4" s="283"/>
      <c r="DM4" s="283"/>
      <c r="DN4" s="283"/>
      <c r="DO4" s="285"/>
      <c r="DP4" s="282" t="s">
        <v>108</v>
      </c>
      <c r="DQ4" s="283"/>
      <c r="DR4" s="283"/>
      <c r="DS4" s="283"/>
      <c r="DT4" s="283"/>
      <c r="DU4" s="285"/>
      <c r="DV4" s="282" t="s">
        <v>111</v>
      </c>
      <c r="DW4" s="283"/>
      <c r="DX4" s="283"/>
      <c r="DY4" s="283"/>
      <c r="DZ4" s="283"/>
      <c r="EA4" s="285"/>
      <c r="EB4" s="282" t="s">
        <v>133</v>
      </c>
      <c r="EC4" s="283"/>
      <c r="ED4" s="283"/>
      <c r="EE4" s="283"/>
      <c r="EF4" s="283"/>
      <c r="EG4" s="285"/>
      <c r="EH4" s="282" t="s">
        <v>137</v>
      </c>
      <c r="EI4" s="283"/>
      <c r="EJ4" s="283"/>
      <c r="EK4" s="283"/>
      <c r="EL4" s="283"/>
      <c r="EM4" s="285"/>
      <c r="EN4" s="282" t="s">
        <v>141</v>
      </c>
      <c r="EO4" s="283"/>
      <c r="EP4" s="283"/>
      <c r="EQ4" s="283"/>
      <c r="ER4" s="283"/>
      <c r="ES4" s="285"/>
      <c r="ET4" s="282" t="s">
        <v>145</v>
      </c>
      <c r="EU4" s="283"/>
      <c r="EV4" s="283"/>
      <c r="EW4" s="283"/>
      <c r="EX4" s="283"/>
      <c r="EY4" s="285"/>
      <c r="EZ4" s="282" t="s">
        <v>149</v>
      </c>
      <c r="FA4" s="283"/>
      <c r="FB4" s="283"/>
      <c r="FC4" s="283"/>
      <c r="FD4" s="283"/>
      <c r="FE4" s="285"/>
      <c r="FF4" s="282" t="s">
        <v>153</v>
      </c>
      <c r="FG4" s="283"/>
      <c r="FH4" s="283"/>
      <c r="FI4" s="283"/>
      <c r="FJ4" s="283"/>
      <c r="FK4" s="285"/>
      <c r="FL4" s="282" t="s">
        <v>157</v>
      </c>
      <c r="FM4" s="283"/>
      <c r="FN4" s="283"/>
      <c r="FO4" s="283"/>
      <c r="FP4" s="283"/>
      <c r="FQ4" s="285"/>
      <c r="FR4" s="282" t="s">
        <v>161</v>
      </c>
      <c r="FS4" s="283"/>
      <c r="FT4" s="283"/>
      <c r="FU4" s="283"/>
      <c r="FV4" s="283"/>
      <c r="FW4" s="285"/>
      <c r="FX4" s="282" t="s">
        <v>165</v>
      </c>
      <c r="FY4" s="283"/>
      <c r="FZ4" s="283"/>
      <c r="GA4" s="283"/>
      <c r="GB4" s="283"/>
      <c r="GC4" s="285"/>
      <c r="GD4" s="282" t="s">
        <v>168</v>
      </c>
      <c r="GE4" s="283"/>
      <c r="GF4" s="283"/>
      <c r="GG4" s="283"/>
      <c r="GH4" s="283"/>
      <c r="GI4" s="285"/>
      <c r="GJ4" s="314"/>
      <c r="GK4" s="289"/>
      <c r="GL4" s="317"/>
      <c r="GM4" s="240"/>
    </row>
    <row r="5" spans="1:196" s="23" customFormat="1" ht="246" customHeight="1" thickBot="1" x14ac:dyDescent="0.25">
      <c r="A5" s="292"/>
      <c r="B5" s="296"/>
      <c r="C5" s="300" t="s">
        <v>190</v>
      </c>
      <c r="D5" s="301"/>
      <c r="E5" s="300" t="s">
        <v>73</v>
      </c>
      <c r="F5" s="301"/>
      <c r="G5" s="305"/>
      <c r="H5" s="287"/>
      <c r="I5" s="287"/>
      <c r="J5" s="312"/>
      <c r="K5" s="281"/>
      <c r="L5" s="307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315"/>
      <c r="GK5" s="290"/>
      <c r="GL5" s="318"/>
      <c r="GM5" s="241" t="s">
        <v>214</v>
      </c>
    </row>
    <row r="6" spans="1:196" s="23" customFormat="1" ht="19.5" thickBot="1" x14ac:dyDescent="0.25">
      <c r="A6" s="293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2" t="s">
        <v>60</v>
      </c>
      <c r="GL6" s="243" t="s">
        <v>74</v>
      </c>
      <c r="GM6" s="233"/>
    </row>
    <row r="7" spans="1:196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6">
        <f>GK7+1</f>
        <v>194</v>
      </c>
      <c r="GM7" s="234">
        <v>195</v>
      </c>
    </row>
    <row r="8" spans="1:196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4" t="s">
        <v>50</v>
      </c>
      <c r="GM8" s="235" t="s">
        <v>4</v>
      </c>
    </row>
    <row r="9" spans="1:196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24937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1.7800657957937387E-2</v>
      </c>
      <c r="L9" s="132">
        <f>$D$20*G9/$G$20</f>
        <v>15258.511028634632</v>
      </c>
      <c r="M9" s="135">
        <f>(((H9+L9)/G9)/$J$20)/I9</f>
        <v>2.8692566999447614E-2</v>
      </c>
      <c r="N9" s="136" t="s">
        <v>8</v>
      </c>
      <c r="O9" s="137">
        <f>$N$20-M9</f>
        <v>0.17422559071986704</v>
      </c>
      <c r="P9" s="146">
        <f t="shared" ref="P9:P19" si="105">IF(O9&gt;0,G9*I9*(($H$20+$L$20)/$G$20)*O9,0)</f>
        <v>291698.11026016902</v>
      </c>
      <c r="Q9" s="138">
        <f>IF(($F$20-P$20)&gt;0,P9,$F$20*P9/P$20)</f>
        <v>291698.11026016902</v>
      </c>
      <c r="R9" s="133" t="s">
        <v>8</v>
      </c>
      <c r="S9" s="43" t="s">
        <v>8</v>
      </c>
      <c r="T9" s="47">
        <f t="shared" ref="T9:T19" si="106">(((H9+L9+Q9)/G9)/$J$20)/I9</f>
        <v>0.23691401656106192</v>
      </c>
      <c r="U9" s="46">
        <f t="shared" ref="U9:U19" si="107">S$20-T9</f>
        <v>7.3253858289030693E-2</v>
      </c>
      <c r="V9" s="48">
        <f t="shared" ref="V9:V19" si="108">IF(U9&gt;0,$G9*$I9*(($H$20+$L$20+$Q$20)/$G$20)*U9,0)</f>
        <v>160772.76330418524</v>
      </c>
      <c r="W9" s="74">
        <f t="shared" ref="W9:W19" si="109">IF((R$20-V$20)&gt;0,V9,R$20*V9/V$20)</f>
        <v>160772.76330418524</v>
      </c>
      <c r="X9" s="70" t="s">
        <v>8</v>
      </c>
      <c r="Y9" s="43" t="s">
        <v>8</v>
      </c>
      <c r="Z9" s="47">
        <f t="shared" ref="Z9:Z19" si="110">(((H9+L9+Q9+W9)/G9)/$J$20)/I9</f>
        <v>0.35167765968293824</v>
      </c>
      <c r="AA9" s="46">
        <f t="shared" ref="AA9:AA19" si="111">Y$20-Z9</f>
        <v>7.1076957839913413E-2</v>
      </c>
      <c r="AB9" s="48">
        <f t="shared" ref="AB9:AB19" si="112">IF(AA9&gt;0,$G9*$I9*(($H$20+$L$20+$Q$20+$W$20)/$G$20)*AA9,0)</f>
        <v>199258.92967627567</v>
      </c>
      <c r="AC9" s="74">
        <f t="shared" ref="AC9:AC19" si="113">IF((X$20-AB$20)&gt;0,AB9,X$20*AB9/AB$20)</f>
        <v>199258.92967627567</v>
      </c>
      <c r="AD9" s="70" t="s">
        <v>8</v>
      </c>
      <c r="AE9" s="43" t="s">
        <v>8</v>
      </c>
      <c r="AF9" s="47">
        <f t="shared" ref="AF9:AF19" si="114">(((H9+L9+Q9+W9+AC9)/G9)/$J$20)/I9</f>
        <v>0.49391369658521528</v>
      </c>
      <c r="AG9" s="46">
        <f t="shared" ref="AG9:AG19" si="115">AE$20-AF9</f>
        <v>3.5102034431779228E-2</v>
      </c>
      <c r="AH9" s="48">
        <f t="shared" ref="AH9:AH19" si="116">IF(AG9&gt;0,$G9*$I9*(($H$20+$L$20+$Q$20+$W$20+$AC$20)/$G$20)*AG9,0)</f>
        <v>117857.12708324959</v>
      </c>
      <c r="AI9" s="74">
        <f t="shared" ref="AI9:AI19" si="117">IF((AD$20-AH$20)&gt;0,AH9,AD$20*AH9/AH$20)</f>
        <v>117857.12708324959</v>
      </c>
      <c r="AJ9" s="70" t="s">
        <v>8</v>
      </c>
      <c r="AK9" s="43" t="s">
        <v>8</v>
      </c>
      <c r="AL9" s="47">
        <f t="shared" ref="AL9:AL19" si="118">(((H9+L9+Q9+W9+AC9+AI9)/G9)/$J$20)/I9</f>
        <v>0.57804307891324536</v>
      </c>
      <c r="AM9" s="46">
        <f t="shared" ref="AM9:AM19" si="119">AK$20-AL9</f>
        <v>4.5040361371824544E-2</v>
      </c>
      <c r="AN9" s="48">
        <f t="shared" ref="AN9:AN19" si="120">IF(AM9&gt;0,$G9*$I9*(($H$20+$L$20+$Q$20+$W$20+$AC$20+$AI$20)/$G$20)*AM9,0)</f>
        <v>184513.37075739226</v>
      </c>
      <c r="AO9" s="74">
        <f t="shared" ref="AO9:AO19" si="121">IF((AJ$20-AN$20)&gt;0,AN9,AJ$20*AN9/AN$20)</f>
        <v>97435.7856109657</v>
      </c>
      <c r="AP9" s="70" t="s">
        <v>8</v>
      </c>
      <c r="AQ9" s="43" t="s">
        <v>8</v>
      </c>
      <c r="AR9" s="47">
        <f t="shared" ref="AR9:AR19" si="122">(((H9+L9+Q9+W9+AC9+AI9+AO9)/G9)/$J$20)/I9</f>
        <v>0.64759519394407172</v>
      </c>
      <c r="AS9" s="46">
        <f t="shared" ref="AS9:AS19" si="123">AQ$20-AR9</f>
        <v>2.3991675857432115E-2</v>
      </c>
      <c r="AT9" s="48">
        <f t="shared" ref="AT9:AT19" si="124">IF(AS9&gt;0,$G9*$I9*(($H$20+$L$20+$Q$20+$W$20+$AC$20+$AI$20+$AO$20)/$G$20)*AS9,0)</f>
        <v>106478.59572166964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0.64759519394407172</v>
      </c>
      <c r="AY9" s="46">
        <f t="shared" ref="AY9:AY19" si="127">AW$20-AX9</f>
        <v>2.3991675857432115E-2</v>
      </c>
      <c r="AZ9" s="48">
        <f t="shared" ref="AZ9:AZ19" si="128">IF(AY9&gt;0,$G9*$I9*(($H$20+$L$20+$Q$20+$W$20+$AC$20+$AI$20+$AO$20+$AU$20)/$G$20)*AY9,0)</f>
        <v>106478.59572166964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0.64759519394407172</v>
      </c>
      <c r="BE9" s="46">
        <f t="shared" ref="BE9:BE19" si="131">BC$20-BD9</f>
        <v>2.3991675857432115E-2</v>
      </c>
      <c r="BF9" s="48">
        <f t="shared" ref="BF9:BF19" si="132">IF(BE9&gt;0,$G9*$I9*(($H$20+$L$20+$Q$20+$W$20+$AC$20+$AI$20+$AO$20+$AU$20+$BA$20)/$G$20)*BE9,0)</f>
        <v>106478.59572166964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0.64759519394407172</v>
      </c>
      <c r="BK9" s="46">
        <f t="shared" ref="BK9:BK19" si="135">BI$20-BJ9</f>
        <v>2.3991675857432115E-2</v>
      </c>
      <c r="BL9" s="48">
        <f t="shared" ref="BL9:BL19" si="136">IF(BK9&gt;0,$G9*$I9*(($H$20+$L$20+$Q$20+$W$20+$AC$20+$AI$20+$AO$20+$AU$20+$BA$20+$BG$20)/$G$20)*BK9,0)</f>
        <v>106478.59572166964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0.64759519394407172</v>
      </c>
      <c r="BQ9" s="46">
        <f t="shared" ref="BQ9:BQ19" si="139">BO$20-BP9</f>
        <v>2.3991675857432115E-2</v>
      </c>
      <c r="BR9" s="48">
        <f t="shared" ref="BR9:BR19" si="140">IF(BQ9&gt;0,$G9*$I9*(($H$20+$L$20+$Q$20+$W$20+$AC$20+$AI$20+$AO$20+$AU$20+$BA$20+$BG$20+$BM$20)/$G$20)*BQ9,0)</f>
        <v>106478.59572166964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0.64759519394407172</v>
      </c>
      <c r="BW9" s="46">
        <f t="shared" ref="BW9:BW19" si="143">BU$20-BV9</f>
        <v>2.3991675857432115E-2</v>
      </c>
      <c r="BX9" s="48">
        <f t="shared" ref="BX9:BX19" si="144">IF(BW9&gt;0,$G9*$I9*(($H$20+$L$20+$Q$20+$W$20+$AC$20+$AI$20+$AO$20+$AU$20+$BA$20+$BG$20+$BM$20+$BS$20)/$G$20)*BW9,0)</f>
        <v>106478.59572166964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0.64759519394407172</v>
      </c>
      <c r="CC9" s="46">
        <f t="shared" ref="CC9:CC19" si="147">CA$20-CB9</f>
        <v>2.3991675857432115E-2</v>
      </c>
      <c r="CD9" s="48">
        <f t="shared" ref="CD9:CD19" si="148">IF(CC9&gt;0,$G9*$I9*(($H$20+$L$20+$Q$20+$W$20+$AC$20+$AI$20+$AO$20+$AU$20+$BA$20+$BG$20+$BM$20+$BS$20+$BY$20)/$G$20)*CC9,0)</f>
        <v>106478.59572166964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0.64759519394407172</v>
      </c>
      <c r="CI9" s="46">
        <f t="shared" ref="CI9:CI19" si="151">CG$20-CH9</f>
        <v>2.3991675857432115E-2</v>
      </c>
      <c r="CJ9" s="48">
        <f t="shared" ref="CJ9:CJ19" si="152">IF(CI9&gt;0,$G9*$I9*(($H$20+$L$20+$Q$20+$W$20+$AC$20+$AI$20+$AO$20+$AU$20+$BA$20+$BG$20+$BM$20+$BS$20+$BY$20+$CE$20)/$G$20)*CI9,0)</f>
        <v>106478.59572166964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0.64759519394407172</v>
      </c>
      <c r="CO9" s="46">
        <f t="shared" ref="CO9:CO19" si="155">CM$20-CN9</f>
        <v>2.3991675857432115E-2</v>
      </c>
      <c r="CP9" s="48">
        <f t="shared" ref="CP9:CP19" si="156">IF(CO9&gt;0,$G9*$I9*(($H$20+$L$20+$Q$20+$W$20+$AC$20+$AI$20+$AO$20+$AU$20+$BA$20+$BG$20+$BM$20+$BS$20+$BY$20+$CE$20+$CK$20)/$G$20)*CO9,0)</f>
        <v>106478.59572166964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0.64759519394407172</v>
      </c>
      <c r="CU9" s="46">
        <f t="shared" ref="CU9:CU19" si="159">CS$20-CT9</f>
        <v>2.3991675857432115E-2</v>
      </c>
      <c r="CV9" s="48">
        <f t="shared" ref="CV9:CV19" si="160">IF(CU9&gt;0,$G9*$I9*(($H$20+$L$20+$Q$20+$W$20+$AC$20+$AI$20+$AO$20+$AU$20+$BA$20+$BG$20+$BM$20+$BS$20+$BY$20+$CE$20+$CK$20+$CQ$20)/$G$20)*CU9,0)</f>
        <v>106478.59572166964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0.64759519394407172</v>
      </c>
      <c r="DA9" s="46">
        <f t="shared" ref="DA9:DA19" si="163">CY$20-CZ9</f>
        <v>2.3991675857432115E-2</v>
      </c>
      <c r="DB9" s="48">
        <f t="shared" ref="DB9:DB19" si="164">IF(DA9&gt;0,$G9*$I9*(($H$20+$L$20+$Q$20+$W$20+$AC$20+$AI$20+$AO$20+$AU$20+$BA$20+$BG$20+$BM$20+$BS$20+$BY$20+$CE$20+$CK$20+$CQ$20+$CW$20)/$G$20)*DA9,0)</f>
        <v>106478.59572166964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0.64759519394407172</v>
      </c>
      <c r="DG9" s="46">
        <f t="shared" ref="DG9:DG19" si="167">DE$20-DF9</f>
        <v>2.3991675857432115E-2</v>
      </c>
      <c r="DH9" s="48">
        <f t="shared" ref="DH9:DH19" si="168">IF(DG9&gt;0,$G9*$I9*(($H$20+$L$20+$Q$20+$W$20+$AC$20+$AI$20+$AO$20+$AU$20+$BA$20+$BG$20+$BM$20+$BS$20+$BY$20+$CE$20+$CK$20+$CQ$20+$CW$20+$DC$20)/$G$20)*DG9,0)</f>
        <v>106478.59572166964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0.64759519394407172</v>
      </c>
      <c r="DM9" s="46">
        <f t="shared" ref="DM9:DM19" si="171">DK$20-DL9</f>
        <v>2.3991675857432115E-2</v>
      </c>
      <c r="DN9" s="48">
        <f t="shared" ref="DN9:DN19" si="172">IF(DM9&gt;0,$G9*$I9*(($H$20+$L$20+$Q$20+$W$20+$AC$20+$AI$20+$AO$20+$AU$20+$BA$20+$BG$20+$BM$20+$BS$20+$BY$20+$CE$20+$CK$20+$CQ$20+$CW$20+$DC$20+$DI$20)/$G$20)*DM9,0)</f>
        <v>106478.59572166964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0.64759519394407172</v>
      </c>
      <c r="DS9" s="46">
        <f t="shared" ref="DS9:DS19" si="175">DQ$20-DR9</f>
        <v>2.3991675857432115E-2</v>
      </c>
      <c r="DT9" s="48">
        <f t="shared" ref="DT9:DT19" si="176">IF(DS9&gt;0,$G9*$I9*(($H$20+$L$20+$Q$20+$W$20+$AC$20+$AI$20+$AO$20+$AU$20+$BA$20+$BG$20+$BM$20+$BS$20+$BY$20+$CE$20+$CK$20+$CQ$20+$CW$20+$DC$20+$DI$20+$DO$20)/$G$20)*DS9,0)</f>
        <v>106478.59572166964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0.64759519394407172</v>
      </c>
      <c r="DY9" s="137">
        <f t="shared" ref="DY9:DY19" si="179">DW$20-DX9</f>
        <v>2.3991675857432115E-2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106478.59572166964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0.64759519394407172</v>
      </c>
      <c r="EE9" s="137">
        <f t="shared" ref="EE9:EE19" si="183">EC$20-ED9</f>
        <v>2.3991675857432115E-2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106478.59572166964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0.64759519394407172</v>
      </c>
      <c r="EK9" s="137">
        <f t="shared" ref="EK9:EK19" si="187">EI$20-EJ9</f>
        <v>2.3991675857432115E-2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106478.59572166964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0.64759519394407172</v>
      </c>
      <c r="EQ9" s="46">
        <f t="shared" ref="EQ9:EQ19" si="191">EO$20-EP9</f>
        <v>2.3991675857432115E-2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106478.59572166964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0.64759519394407172</v>
      </c>
      <c r="EW9" s="137">
        <f t="shared" ref="EW9:EW19" si="195">EU$20-EV9</f>
        <v>2.3991675857432115E-2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106478.59572166964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0.64759519394407172</v>
      </c>
      <c r="FC9" s="137">
        <f t="shared" ref="FC9:FC19" si="199">FA$20-FB9</f>
        <v>2.3991675857432115E-2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106478.59572166964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0.64759519394407172</v>
      </c>
      <c r="FI9" s="137">
        <f t="shared" ref="FI9:FI19" si="203">FG$20-FH9</f>
        <v>2.3991675857432115E-2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106478.59572166964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0.64759519394407172</v>
      </c>
      <c r="FO9" s="137">
        <f t="shared" ref="FO9:FO19" si="207">FM$20-FN9</f>
        <v>2.3991675857432115E-2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106478.59572166964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0.64759519394407172</v>
      </c>
      <c r="FU9" s="137">
        <f t="shared" ref="FU9:FU19" si="211">FS$20-FT9</f>
        <v>2.3991675857432115E-2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106478.59572166964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0.64759519394407172</v>
      </c>
      <c r="GA9" s="137">
        <f t="shared" ref="GA9:GA19" si="215">FY$20-FZ9</f>
        <v>2.3991675857432115E-2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106478.59572166964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0.64759519394407172</v>
      </c>
      <c r="GG9" s="137">
        <f t="shared" ref="GG9:GG19" si="219">GE$20-GF9</f>
        <v>2.3991675857432115E-2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106478.59572166964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867022.71593484527</v>
      </c>
      <c r="GK9" s="320">
        <f t="shared" ref="GK9:GK20" si="222">L9+GJ9</f>
        <v>882281.22696347989</v>
      </c>
      <c r="GL9" s="195">
        <f>K9+GK9/($H$20/$G$20)/G9/I9</f>
        <v>0.64759519394407183</v>
      </c>
      <c r="GM9" s="236">
        <v>882281.23</v>
      </c>
      <c r="GN9" s="244"/>
    </row>
    <row r="10" spans="1:196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303979</v>
      </c>
      <c r="I10" s="29">
        <f>'Расчет КРП'!G8</f>
        <v>7.1284689476607879</v>
      </c>
      <c r="J10" s="102" t="s">
        <v>8</v>
      </c>
      <c r="K10" s="106">
        <f t="shared" si="104"/>
        <v>0.111705956394925</v>
      </c>
      <c r="L10" s="72">
        <f t="shared" ref="L10:L19" si="223">$D$20*G10/$G$20</f>
        <v>74487.785021506701</v>
      </c>
      <c r="M10" s="68">
        <f t="shared" ref="M10:M19" si="224">(((H10+L10)/G10)/$J$20)/I10</f>
        <v>0.13907866722549878</v>
      </c>
      <c r="N10" s="27" t="s">
        <v>8</v>
      </c>
      <c r="O10" s="30">
        <f t="shared" ref="O10:O19" si="225">$N$20-M10</f>
        <v>6.3839490493815876E-2</v>
      </c>
      <c r="P10" s="31">
        <f t="shared" si="105"/>
        <v>207620.47621318564</v>
      </c>
      <c r="Q10" s="75">
        <f t="shared" ref="Q10:Q19" si="226">IF(($F$20-P$20)&gt;0,P10,$F$20*P10/P$20)</f>
        <v>207620.47621318564</v>
      </c>
      <c r="R10" s="134" t="s">
        <v>8</v>
      </c>
      <c r="S10" s="27" t="s">
        <v>8</v>
      </c>
      <c r="T10" s="32">
        <f t="shared" si="106"/>
        <v>0.2153748714454076</v>
      </c>
      <c r="U10" s="30">
        <f t="shared" si="107"/>
        <v>9.4793003404685022E-2</v>
      </c>
      <c r="V10" s="48">
        <f t="shared" si="108"/>
        <v>404126.52517655003</v>
      </c>
      <c r="W10" s="75">
        <f t="shared" si="109"/>
        <v>404126.52517655003</v>
      </c>
      <c r="X10" s="71" t="s">
        <v>8</v>
      </c>
      <c r="Y10" s="27" t="s">
        <v>8</v>
      </c>
      <c r="Z10" s="32">
        <f t="shared" si="110"/>
        <v>0.3638829591731923</v>
      </c>
      <c r="AA10" s="30">
        <f t="shared" si="111"/>
        <v>5.887165834965935E-2</v>
      </c>
      <c r="AB10" s="48">
        <f t="shared" si="112"/>
        <v>320593.21896650601</v>
      </c>
      <c r="AC10" s="75">
        <f t="shared" si="113"/>
        <v>320593.21896650601</v>
      </c>
      <c r="AD10" s="71" t="s">
        <v>8</v>
      </c>
      <c r="AE10" s="27" t="s">
        <v>8</v>
      </c>
      <c r="AF10" s="32">
        <f t="shared" si="114"/>
        <v>0.48169429527990087</v>
      </c>
      <c r="AG10" s="30">
        <f t="shared" si="115"/>
        <v>4.7321435737093631E-2</v>
      </c>
      <c r="AH10" s="48">
        <f t="shared" si="116"/>
        <v>308631.73190724599</v>
      </c>
      <c r="AI10" s="75">
        <f t="shared" si="117"/>
        <v>308631.73190724599</v>
      </c>
      <c r="AJ10" s="71" t="s">
        <v>8</v>
      </c>
      <c r="AK10" s="27" t="s">
        <v>8</v>
      </c>
      <c r="AL10" s="32">
        <f t="shared" si="118"/>
        <v>0.59511003382276395</v>
      </c>
      <c r="AM10" s="30">
        <f t="shared" si="119"/>
        <v>2.797340646230595E-2</v>
      </c>
      <c r="AN10" s="48">
        <f t="shared" si="120"/>
        <v>222602.70270392459</v>
      </c>
      <c r="AO10" s="75">
        <f t="shared" si="121"/>
        <v>117549.57989250313</v>
      </c>
      <c r="AP10" s="71" t="s">
        <v>8</v>
      </c>
      <c r="AQ10" s="27" t="s">
        <v>8</v>
      </c>
      <c r="AR10" s="32">
        <f t="shared" si="122"/>
        <v>0.63830705810968424</v>
      </c>
      <c r="AS10" s="30">
        <f t="shared" si="123"/>
        <v>3.3279811691819594E-2</v>
      </c>
      <c r="AT10" s="48">
        <f t="shared" si="124"/>
        <v>286907.36087483022</v>
      </c>
      <c r="AU10" s="75">
        <f t="shared" si="125"/>
        <v>0</v>
      </c>
      <c r="AV10" s="71" t="s">
        <v>8</v>
      </c>
      <c r="AW10" s="27" t="s">
        <v>8</v>
      </c>
      <c r="AX10" s="32">
        <f t="shared" si="126"/>
        <v>0.63830705810968424</v>
      </c>
      <c r="AY10" s="30">
        <f t="shared" si="127"/>
        <v>3.3279811691819594E-2</v>
      </c>
      <c r="AZ10" s="48">
        <f t="shared" si="128"/>
        <v>286907.36087483022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0.63830705810968424</v>
      </c>
      <c r="BE10" s="30">
        <f t="shared" si="131"/>
        <v>3.3279811691819594E-2</v>
      </c>
      <c r="BF10" s="48">
        <f t="shared" si="132"/>
        <v>286907.36087483022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0.63830705810968424</v>
      </c>
      <c r="BK10" s="30">
        <f t="shared" si="135"/>
        <v>3.3279811691819594E-2</v>
      </c>
      <c r="BL10" s="48">
        <f t="shared" si="136"/>
        <v>286907.36087483022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0.63830705810968424</v>
      </c>
      <c r="BQ10" s="30">
        <f t="shared" si="139"/>
        <v>3.3279811691819594E-2</v>
      </c>
      <c r="BR10" s="48">
        <f t="shared" si="140"/>
        <v>286907.36087483022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0.63830705810968424</v>
      </c>
      <c r="BW10" s="30">
        <f t="shared" si="143"/>
        <v>3.3279811691819594E-2</v>
      </c>
      <c r="BX10" s="48">
        <f t="shared" si="144"/>
        <v>286907.36087483022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0.63830705810968424</v>
      </c>
      <c r="CC10" s="30">
        <f t="shared" si="147"/>
        <v>3.3279811691819594E-2</v>
      </c>
      <c r="CD10" s="48">
        <f t="shared" si="148"/>
        <v>286907.36087483022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0.63830705810968424</v>
      </c>
      <c r="CI10" s="30">
        <f t="shared" si="151"/>
        <v>3.3279811691819594E-2</v>
      </c>
      <c r="CJ10" s="48">
        <f t="shared" si="152"/>
        <v>286907.36087483022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0.63830705810968424</v>
      </c>
      <c r="CO10" s="30">
        <f t="shared" si="155"/>
        <v>3.3279811691819594E-2</v>
      </c>
      <c r="CP10" s="48">
        <f t="shared" si="156"/>
        <v>286907.36087483022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0.63830705810968424</v>
      </c>
      <c r="CU10" s="30">
        <f t="shared" si="159"/>
        <v>3.3279811691819594E-2</v>
      </c>
      <c r="CV10" s="48">
        <f t="shared" si="160"/>
        <v>286907.36087483022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0.63830705810968424</v>
      </c>
      <c r="DA10" s="30">
        <f t="shared" si="163"/>
        <v>3.3279811691819594E-2</v>
      </c>
      <c r="DB10" s="48">
        <f t="shared" si="164"/>
        <v>286907.36087483022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0.63830705810968424</v>
      </c>
      <c r="DG10" s="30">
        <f t="shared" si="167"/>
        <v>3.3279811691819594E-2</v>
      </c>
      <c r="DH10" s="48">
        <f t="shared" si="168"/>
        <v>286907.36087483022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0.63830705810968424</v>
      </c>
      <c r="DM10" s="30">
        <f t="shared" si="171"/>
        <v>3.3279811691819594E-2</v>
      </c>
      <c r="DN10" s="48">
        <f t="shared" si="172"/>
        <v>286907.36087483022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0.63830705810968424</v>
      </c>
      <c r="DS10" s="30">
        <f t="shared" si="175"/>
        <v>3.3279811691819594E-2</v>
      </c>
      <c r="DT10" s="48">
        <f t="shared" si="176"/>
        <v>286907.36087483022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0.63830705810968424</v>
      </c>
      <c r="DY10" s="30">
        <f t="shared" si="179"/>
        <v>3.3279811691819594E-2</v>
      </c>
      <c r="DZ10" s="31">
        <f t="shared" si="180"/>
        <v>286907.36087483022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0.63830705810968424</v>
      </c>
      <c r="EE10" s="30">
        <f t="shared" si="183"/>
        <v>3.3279811691819594E-2</v>
      </c>
      <c r="EF10" s="31">
        <f t="shared" si="184"/>
        <v>286907.36087483022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0.63830705810968424</v>
      </c>
      <c r="EK10" s="30">
        <f t="shared" si="187"/>
        <v>3.3279811691819594E-2</v>
      </c>
      <c r="EL10" s="31">
        <f t="shared" si="188"/>
        <v>286907.36087483022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0.63830705810968424</v>
      </c>
      <c r="EQ10" s="30">
        <f t="shared" si="191"/>
        <v>3.3279811691819594E-2</v>
      </c>
      <c r="ER10" s="31">
        <f t="shared" si="192"/>
        <v>286907.36087483022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0.63830705810968424</v>
      </c>
      <c r="EW10" s="30">
        <f t="shared" si="195"/>
        <v>3.3279811691819594E-2</v>
      </c>
      <c r="EX10" s="31">
        <f t="shared" si="196"/>
        <v>286907.36087483022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0.63830705810968424</v>
      </c>
      <c r="FC10" s="30">
        <f t="shared" si="199"/>
        <v>3.3279811691819594E-2</v>
      </c>
      <c r="FD10" s="31">
        <f t="shared" si="200"/>
        <v>286907.36087483022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0.63830705810968424</v>
      </c>
      <c r="FI10" s="30">
        <f t="shared" si="203"/>
        <v>3.3279811691819594E-2</v>
      </c>
      <c r="FJ10" s="31">
        <f t="shared" si="204"/>
        <v>286907.36087483022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0.63830705810968424</v>
      </c>
      <c r="FO10" s="30">
        <f t="shared" si="207"/>
        <v>3.3279811691819594E-2</v>
      </c>
      <c r="FP10" s="31">
        <f t="shared" si="208"/>
        <v>286907.36087483022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0.63830705810968424</v>
      </c>
      <c r="FU10" s="30">
        <f t="shared" si="211"/>
        <v>3.3279811691819594E-2</v>
      </c>
      <c r="FV10" s="31">
        <f t="shared" si="212"/>
        <v>286907.36087483022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0.63830705810968424</v>
      </c>
      <c r="GA10" s="30">
        <f t="shared" si="215"/>
        <v>3.3279811691819594E-2</v>
      </c>
      <c r="GB10" s="31">
        <f t="shared" si="216"/>
        <v>286907.36087483022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0.63830705810968424</v>
      </c>
      <c r="GG10" s="30">
        <f t="shared" si="219"/>
        <v>3.3279811691819594E-2</v>
      </c>
      <c r="GH10" s="31">
        <f t="shared" si="220"/>
        <v>286907.36087483022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1358521.5321559906</v>
      </c>
      <c r="GK10" s="321">
        <f t="shared" si="222"/>
        <v>1433009.3171774973</v>
      </c>
      <c r="GL10" s="196">
        <f t="shared" ref="GL10:GL19" si="228">K10+GK10/($H$20/$G$20)/G10/I10</f>
        <v>0.63830705810968424</v>
      </c>
      <c r="GM10" s="237">
        <v>1433009.32</v>
      </c>
      <c r="GN10" s="244"/>
    </row>
    <row r="11" spans="1:196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244272</v>
      </c>
      <c r="I11" s="29">
        <f>'Расчет КРП'!G9</f>
        <v>7.1603011701930406</v>
      </c>
      <c r="J11" s="102" t="s">
        <v>8</v>
      </c>
      <c r="K11" s="106">
        <f t="shared" si="104"/>
        <v>0.1176002291000743</v>
      </c>
      <c r="L11" s="72">
        <f t="shared" si="223"/>
        <v>56604.15381590266</v>
      </c>
      <c r="M11" s="68">
        <f t="shared" si="224"/>
        <v>0.14485125032545418</v>
      </c>
      <c r="N11" s="27" t="s">
        <v>8</v>
      </c>
      <c r="O11" s="30">
        <f t="shared" si="225"/>
        <v>5.8066907393860473E-2</v>
      </c>
      <c r="P11" s="31">
        <f t="shared" si="105"/>
        <v>144147.70646375034</v>
      </c>
      <c r="Q11" s="75">
        <f t="shared" si="226"/>
        <v>144147.70646375034</v>
      </c>
      <c r="R11" s="134" t="s">
        <v>8</v>
      </c>
      <c r="S11" s="27" t="s">
        <v>8</v>
      </c>
      <c r="T11" s="32">
        <f t="shared" si="106"/>
        <v>0.21424849317108244</v>
      </c>
      <c r="U11" s="30">
        <f t="shared" si="107"/>
        <v>9.5919381679010179E-2</v>
      </c>
      <c r="V11" s="48">
        <f t="shared" si="108"/>
        <v>312137.33154978039</v>
      </c>
      <c r="W11" s="75">
        <f t="shared" si="109"/>
        <v>312137.33154978039</v>
      </c>
      <c r="X11" s="71" t="s">
        <v>8</v>
      </c>
      <c r="Y11" s="27" t="s">
        <v>8</v>
      </c>
      <c r="Z11" s="32">
        <f t="shared" si="110"/>
        <v>0.36452122889576649</v>
      </c>
      <c r="AA11" s="30">
        <f t="shared" si="111"/>
        <v>5.8233388627085159E-2</v>
      </c>
      <c r="AB11" s="48">
        <f t="shared" si="112"/>
        <v>242057.41715208278</v>
      </c>
      <c r="AC11" s="75">
        <f t="shared" si="113"/>
        <v>242057.41715208278</v>
      </c>
      <c r="AD11" s="71" t="s">
        <v>8</v>
      </c>
      <c r="AE11" s="27" t="s">
        <v>8</v>
      </c>
      <c r="AF11" s="32">
        <f t="shared" si="114"/>
        <v>0.48105528811031906</v>
      </c>
      <c r="AG11" s="30">
        <f t="shared" si="115"/>
        <v>4.7960442906675449E-2</v>
      </c>
      <c r="AH11" s="48">
        <f t="shared" si="116"/>
        <v>238761.40069094501</v>
      </c>
      <c r="AI11" s="75">
        <f t="shared" si="117"/>
        <v>238761.40069094501</v>
      </c>
      <c r="AJ11" s="71" t="s">
        <v>8</v>
      </c>
      <c r="AK11" s="27" t="s">
        <v>8</v>
      </c>
      <c r="AL11" s="32">
        <f t="shared" si="118"/>
        <v>0.59600254126053587</v>
      </c>
      <c r="AM11" s="30">
        <f t="shared" si="119"/>
        <v>2.7080899024534033E-2</v>
      </c>
      <c r="AN11" s="48">
        <f t="shared" si="120"/>
        <v>164492.62253784057</v>
      </c>
      <c r="AO11" s="75">
        <f t="shared" si="121"/>
        <v>86863.449723956772</v>
      </c>
      <c r="AP11" s="71" t="s">
        <v>8</v>
      </c>
      <c r="AQ11" s="27" t="s">
        <v>8</v>
      </c>
      <c r="AR11" s="32">
        <f t="shared" si="122"/>
        <v>0.63782133992743228</v>
      </c>
      <c r="AS11" s="30">
        <f t="shared" si="123"/>
        <v>3.3765529874071554E-2</v>
      </c>
      <c r="AT11" s="48">
        <f t="shared" si="124"/>
        <v>222194.17504509489</v>
      </c>
      <c r="AU11" s="75">
        <f t="shared" si="125"/>
        <v>0</v>
      </c>
      <c r="AV11" s="71" t="s">
        <v>8</v>
      </c>
      <c r="AW11" s="27" t="s">
        <v>8</v>
      </c>
      <c r="AX11" s="32">
        <f t="shared" si="126"/>
        <v>0.63782133992743228</v>
      </c>
      <c r="AY11" s="30">
        <f t="shared" si="127"/>
        <v>3.3765529874071554E-2</v>
      </c>
      <c r="AZ11" s="48">
        <f t="shared" si="128"/>
        <v>222194.17504509489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0.63782133992743228</v>
      </c>
      <c r="BE11" s="30">
        <f t="shared" si="131"/>
        <v>3.3765529874071554E-2</v>
      </c>
      <c r="BF11" s="48">
        <f t="shared" si="132"/>
        <v>222194.17504509489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0.63782133992743228</v>
      </c>
      <c r="BK11" s="30">
        <f t="shared" si="135"/>
        <v>3.3765529874071554E-2</v>
      </c>
      <c r="BL11" s="48">
        <f t="shared" si="136"/>
        <v>222194.17504509489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0.63782133992743228</v>
      </c>
      <c r="BQ11" s="30">
        <f t="shared" si="139"/>
        <v>3.3765529874071554E-2</v>
      </c>
      <c r="BR11" s="48">
        <f t="shared" si="140"/>
        <v>222194.17504509489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0.63782133992743228</v>
      </c>
      <c r="BW11" s="30">
        <f t="shared" si="143"/>
        <v>3.3765529874071554E-2</v>
      </c>
      <c r="BX11" s="48">
        <f t="shared" si="144"/>
        <v>222194.17504509489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0.63782133992743228</v>
      </c>
      <c r="CC11" s="30">
        <f t="shared" si="147"/>
        <v>3.3765529874071554E-2</v>
      </c>
      <c r="CD11" s="48">
        <f t="shared" si="148"/>
        <v>222194.17504509489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0.63782133992743228</v>
      </c>
      <c r="CI11" s="30">
        <f t="shared" si="151"/>
        <v>3.3765529874071554E-2</v>
      </c>
      <c r="CJ11" s="48">
        <f t="shared" si="152"/>
        <v>222194.17504509489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0.63782133992743228</v>
      </c>
      <c r="CO11" s="30">
        <f t="shared" si="155"/>
        <v>3.3765529874071554E-2</v>
      </c>
      <c r="CP11" s="48">
        <f t="shared" si="156"/>
        <v>222194.17504509489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0.63782133992743228</v>
      </c>
      <c r="CU11" s="30">
        <f t="shared" si="159"/>
        <v>3.3765529874071554E-2</v>
      </c>
      <c r="CV11" s="48">
        <f t="shared" si="160"/>
        <v>222194.17504509489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0.63782133992743228</v>
      </c>
      <c r="DA11" s="30">
        <f t="shared" si="163"/>
        <v>3.3765529874071554E-2</v>
      </c>
      <c r="DB11" s="48">
        <f t="shared" si="164"/>
        <v>222194.17504509489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0.63782133992743228</v>
      </c>
      <c r="DG11" s="30">
        <f t="shared" si="167"/>
        <v>3.3765529874071554E-2</v>
      </c>
      <c r="DH11" s="48">
        <f t="shared" si="168"/>
        <v>222194.17504509489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0.63782133992743228</v>
      </c>
      <c r="DM11" s="30">
        <f t="shared" si="171"/>
        <v>3.3765529874071554E-2</v>
      </c>
      <c r="DN11" s="48">
        <f t="shared" si="172"/>
        <v>222194.17504509489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0.63782133992743228</v>
      </c>
      <c r="DS11" s="30">
        <f t="shared" si="175"/>
        <v>3.3765529874071554E-2</v>
      </c>
      <c r="DT11" s="48">
        <f t="shared" si="176"/>
        <v>222194.17504509489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0.63782133992743228</v>
      </c>
      <c r="DY11" s="30">
        <f t="shared" si="179"/>
        <v>3.3765529874071554E-2</v>
      </c>
      <c r="DZ11" s="31">
        <f t="shared" si="180"/>
        <v>222194.17504509489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0.63782133992743228</v>
      </c>
      <c r="EE11" s="30">
        <f t="shared" si="183"/>
        <v>3.3765529874071554E-2</v>
      </c>
      <c r="EF11" s="31">
        <f t="shared" si="184"/>
        <v>222194.17504509489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0.63782133992743228</v>
      </c>
      <c r="EK11" s="30">
        <f t="shared" si="187"/>
        <v>3.3765529874071554E-2</v>
      </c>
      <c r="EL11" s="31">
        <f t="shared" si="188"/>
        <v>222194.17504509489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0.63782133992743228</v>
      </c>
      <c r="EQ11" s="30">
        <f t="shared" si="191"/>
        <v>3.3765529874071554E-2</v>
      </c>
      <c r="ER11" s="31">
        <f t="shared" si="192"/>
        <v>222194.17504509489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0.63782133992743228</v>
      </c>
      <c r="EW11" s="30">
        <f t="shared" si="195"/>
        <v>3.3765529874071554E-2</v>
      </c>
      <c r="EX11" s="31">
        <f t="shared" si="196"/>
        <v>222194.17504509489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0.63782133992743228</v>
      </c>
      <c r="FC11" s="30">
        <f t="shared" si="199"/>
        <v>3.3765529874071554E-2</v>
      </c>
      <c r="FD11" s="31">
        <f t="shared" si="200"/>
        <v>222194.17504509489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0.63782133992743228</v>
      </c>
      <c r="FI11" s="30">
        <f t="shared" si="203"/>
        <v>3.3765529874071554E-2</v>
      </c>
      <c r="FJ11" s="31">
        <f t="shared" si="204"/>
        <v>222194.17504509489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0.63782133992743228</v>
      </c>
      <c r="FO11" s="30">
        <f t="shared" si="207"/>
        <v>3.3765529874071554E-2</v>
      </c>
      <c r="FP11" s="31">
        <f t="shared" si="208"/>
        <v>222194.17504509489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0.63782133992743228</v>
      </c>
      <c r="FU11" s="30">
        <f t="shared" si="211"/>
        <v>3.3765529874071554E-2</v>
      </c>
      <c r="FV11" s="31">
        <f t="shared" si="212"/>
        <v>222194.17504509489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0.63782133992743228</v>
      </c>
      <c r="GA11" s="30">
        <f t="shared" si="215"/>
        <v>3.3765529874071554E-2</v>
      </c>
      <c r="GB11" s="31">
        <f t="shared" si="216"/>
        <v>222194.17504509489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0.63782133992743228</v>
      </c>
      <c r="GG11" s="30">
        <f t="shared" si="219"/>
        <v>3.3765529874071554E-2</v>
      </c>
      <c r="GH11" s="31">
        <f t="shared" si="220"/>
        <v>222194.17504509489</v>
      </c>
      <c r="GI11" s="115">
        <f t="shared" si="221"/>
        <v>0</v>
      </c>
      <c r="GJ11" s="139">
        <f t="shared" si="227"/>
        <v>1023967.3055805152</v>
      </c>
      <c r="GK11" s="321">
        <f t="shared" si="222"/>
        <v>1080571.459396418</v>
      </c>
      <c r="GL11" s="196">
        <f t="shared" si="228"/>
        <v>0.63782133992743217</v>
      </c>
      <c r="GM11" s="237">
        <v>1080571.46</v>
      </c>
      <c r="GN11" s="244"/>
    </row>
    <row r="12" spans="1:196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72176</v>
      </c>
      <c r="I12" s="29">
        <f>'Расчет КРП'!G10</f>
        <v>18.157114801623248</v>
      </c>
      <c r="J12" s="102" t="s">
        <v>8</v>
      </c>
      <c r="K12" s="106">
        <f t="shared" si="104"/>
        <v>4.7752447951680488E-2</v>
      </c>
      <c r="L12" s="72">
        <f t="shared" si="223"/>
        <v>16242.931094998155</v>
      </c>
      <c r="M12" s="68">
        <f t="shared" si="224"/>
        <v>5.849895263047443E-2</v>
      </c>
      <c r="N12" s="27" t="s">
        <v>8</v>
      </c>
      <c r="O12" s="30">
        <f t="shared" si="225"/>
        <v>0.14441920508884021</v>
      </c>
      <c r="P12" s="31">
        <f>IF(O12&gt;0,G12*I12*(($H$20+$L$20)/$G$20)*O12,0)</f>
        <v>260876.90891454558</v>
      </c>
      <c r="Q12" s="75">
        <f t="shared" si="226"/>
        <v>260876.90891454558</v>
      </c>
      <c r="R12" s="134" t="s">
        <v>8</v>
      </c>
      <c r="S12" s="27" t="s">
        <v>8</v>
      </c>
      <c r="T12" s="32">
        <f t="shared" si="106"/>
        <v>0.23109803009025509</v>
      </c>
      <c r="U12" s="30">
        <f t="shared" si="107"/>
        <v>7.9069844759837526E-2</v>
      </c>
      <c r="V12" s="48">
        <f t="shared" si="108"/>
        <v>187232.77682394887</v>
      </c>
      <c r="W12" s="75">
        <f t="shared" si="109"/>
        <v>187232.77682394887</v>
      </c>
      <c r="X12" s="71" t="s">
        <v>8</v>
      </c>
      <c r="Y12" s="27" t="s">
        <v>8</v>
      </c>
      <c r="Z12" s="32">
        <f t="shared" si="110"/>
        <v>0.35497332700521611</v>
      </c>
      <c r="AA12" s="30">
        <f t="shared" si="111"/>
        <v>6.778129051763554E-2</v>
      </c>
      <c r="AB12" s="48">
        <f t="shared" si="112"/>
        <v>205016.02788903948</v>
      </c>
      <c r="AC12" s="75">
        <f t="shared" si="113"/>
        <v>205016.02788903948</v>
      </c>
      <c r="AD12" s="71" t="s">
        <v>8</v>
      </c>
      <c r="AE12" s="27" t="s">
        <v>8</v>
      </c>
      <c r="AF12" s="32">
        <f t="shared" si="114"/>
        <v>0.49061422149966899</v>
      </c>
      <c r="AG12" s="30">
        <f t="shared" si="115"/>
        <v>3.8401509517325516E-2</v>
      </c>
      <c r="AH12" s="48">
        <f t="shared" si="116"/>
        <v>139110.8097609893</v>
      </c>
      <c r="AI12" s="75">
        <f t="shared" si="117"/>
        <v>139110.8097609893</v>
      </c>
      <c r="AJ12" s="71" t="s">
        <v>8</v>
      </c>
      <c r="AK12" s="27" t="s">
        <v>8</v>
      </c>
      <c r="AL12" s="32">
        <f t="shared" si="118"/>
        <v>0.58265148738622075</v>
      </c>
      <c r="AM12" s="30">
        <f t="shared" si="119"/>
        <v>4.0431952898849155E-2</v>
      </c>
      <c r="AN12" s="48">
        <f t="shared" si="120"/>
        <v>178706.23901453853</v>
      </c>
      <c r="AO12" s="75">
        <f t="shared" si="121"/>
        <v>94369.219533999378</v>
      </c>
      <c r="AP12" s="71" t="s">
        <v>8</v>
      </c>
      <c r="AQ12" s="27" t="s">
        <v>8</v>
      </c>
      <c r="AR12" s="32">
        <f t="shared" si="122"/>
        <v>0.64508721732467689</v>
      </c>
      <c r="AS12" s="30">
        <f t="shared" si="123"/>
        <v>2.6499652476826951E-2</v>
      </c>
      <c r="AT12" s="48">
        <f t="shared" si="124"/>
        <v>126891.03156719776</v>
      </c>
      <c r="AU12" s="75">
        <f t="shared" si="125"/>
        <v>0</v>
      </c>
      <c r="AV12" s="71" t="s">
        <v>8</v>
      </c>
      <c r="AW12" s="27" t="s">
        <v>8</v>
      </c>
      <c r="AX12" s="32">
        <f t="shared" si="126"/>
        <v>0.64508721732467689</v>
      </c>
      <c r="AY12" s="30">
        <f t="shared" si="127"/>
        <v>2.6499652476826951E-2</v>
      </c>
      <c r="AZ12" s="48">
        <f t="shared" si="128"/>
        <v>126891.03156719776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0.64508721732467689</v>
      </c>
      <c r="BE12" s="30">
        <f t="shared" si="131"/>
        <v>2.6499652476826951E-2</v>
      </c>
      <c r="BF12" s="48">
        <f t="shared" si="132"/>
        <v>126891.03156719776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0.64508721732467689</v>
      </c>
      <c r="BK12" s="30">
        <f t="shared" si="135"/>
        <v>2.6499652476826951E-2</v>
      </c>
      <c r="BL12" s="48">
        <f t="shared" si="136"/>
        <v>126891.03156719776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0.64508721732467689</v>
      </c>
      <c r="BQ12" s="30">
        <f t="shared" si="139"/>
        <v>2.6499652476826951E-2</v>
      </c>
      <c r="BR12" s="48">
        <f t="shared" si="140"/>
        <v>126891.03156719776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0.64508721732467689</v>
      </c>
      <c r="BW12" s="30">
        <f t="shared" si="143"/>
        <v>2.6499652476826951E-2</v>
      </c>
      <c r="BX12" s="48">
        <f t="shared" si="144"/>
        <v>126891.03156719776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0.64508721732467689</v>
      </c>
      <c r="CC12" s="30">
        <f t="shared" si="147"/>
        <v>2.6499652476826951E-2</v>
      </c>
      <c r="CD12" s="48">
        <f t="shared" si="148"/>
        <v>126891.03156719776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0.64508721732467689</v>
      </c>
      <c r="CI12" s="30">
        <f t="shared" si="151"/>
        <v>2.6499652476826951E-2</v>
      </c>
      <c r="CJ12" s="48">
        <f t="shared" si="152"/>
        <v>126891.03156719776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0.64508721732467689</v>
      </c>
      <c r="CO12" s="30">
        <f t="shared" si="155"/>
        <v>2.6499652476826951E-2</v>
      </c>
      <c r="CP12" s="48">
        <f t="shared" si="156"/>
        <v>126891.03156719776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0.64508721732467689</v>
      </c>
      <c r="CU12" s="30">
        <f t="shared" si="159"/>
        <v>2.6499652476826951E-2</v>
      </c>
      <c r="CV12" s="48">
        <f t="shared" si="160"/>
        <v>126891.03156719776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0.64508721732467689</v>
      </c>
      <c r="DA12" s="30">
        <f t="shared" si="163"/>
        <v>2.6499652476826951E-2</v>
      </c>
      <c r="DB12" s="48">
        <f t="shared" si="164"/>
        <v>126891.03156719776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0.64508721732467689</v>
      </c>
      <c r="DG12" s="30">
        <f t="shared" si="167"/>
        <v>2.6499652476826951E-2</v>
      </c>
      <c r="DH12" s="48">
        <f t="shared" si="168"/>
        <v>126891.03156719776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0.64508721732467689</v>
      </c>
      <c r="DM12" s="30">
        <f t="shared" si="171"/>
        <v>2.6499652476826951E-2</v>
      </c>
      <c r="DN12" s="48">
        <f t="shared" si="172"/>
        <v>126891.03156719776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0.64508721732467689</v>
      </c>
      <c r="DS12" s="30">
        <f t="shared" si="175"/>
        <v>2.6499652476826951E-2</v>
      </c>
      <c r="DT12" s="48">
        <f t="shared" si="176"/>
        <v>126891.03156719776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0.64508721732467689</v>
      </c>
      <c r="DY12" s="30">
        <f t="shared" si="179"/>
        <v>2.6499652476826951E-2</v>
      </c>
      <c r="DZ12" s="31">
        <f t="shared" si="180"/>
        <v>126891.03156719776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0.64508721732467689</v>
      </c>
      <c r="EE12" s="30">
        <f t="shared" si="183"/>
        <v>2.6499652476826951E-2</v>
      </c>
      <c r="EF12" s="31">
        <f t="shared" si="184"/>
        <v>126891.03156719776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0.64508721732467689</v>
      </c>
      <c r="EK12" s="30">
        <f t="shared" si="187"/>
        <v>2.6499652476826951E-2</v>
      </c>
      <c r="EL12" s="31">
        <f t="shared" si="188"/>
        <v>126891.03156719776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0.64508721732467689</v>
      </c>
      <c r="EQ12" s="30">
        <f t="shared" si="191"/>
        <v>2.6499652476826951E-2</v>
      </c>
      <c r="ER12" s="31">
        <f t="shared" si="192"/>
        <v>126891.03156719776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0.64508721732467689</v>
      </c>
      <c r="EW12" s="30">
        <f t="shared" si="195"/>
        <v>2.6499652476826951E-2</v>
      </c>
      <c r="EX12" s="31">
        <f t="shared" si="196"/>
        <v>126891.03156719776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0.64508721732467689</v>
      </c>
      <c r="FC12" s="30">
        <f t="shared" si="199"/>
        <v>2.6499652476826951E-2</v>
      </c>
      <c r="FD12" s="31">
        <f t="shared" si="200"/>
        <v>126891.03156719776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0.64508721732467689</v>
      </c>
      <c r="FI12" s="30">
        <f t="shared" si="203"/>
        <v>2.6499652476826951E-2</v>
      </c>
      <c r="FJ12" s="31">
        <f t="shared" si="204"/>
        <v>126891.03156719776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0.64508721732467689</v>
      </c>
      <c r="FO12" s="30">
        <f t="shared" si="207"/>
        <v>2.6499652476826951E-2</v>
      </c>
      <c r="FP12" s="31">
        <f t="shared" si="208"/>
        <v>126891.03156719776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0.64508721732467689</v>
      </c>
      <c r="FU12" s="30">
        <f t="shared" si="211"/>
        <v>2.6499652476826951E-2</v>
      </c>
      <c r="FV12" s="31">
        <f t="shared" si="212"/>
        <v>126891.03156719776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0.64508721732467689</v>
      </c>
      <c r="GA12" s="30">
        <f t="shared" si="215"/>
        <v>2.6499652476826951E-2</v>
      </c>
      <c r="GB12" s="31">
        <f t="shared" si="216"/>
        <v>126891.03156719776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0.64508721732467689</v>
      </c>
      <c r="GG12" s="30">
        <f t="shared" si="219"/>
        <v>2.6499652476826951E-2</v>
      </c>
      <c r="GH12" s="31">
        <f t="shared" si="220"/>
        <v>126891.03156719776</v>
      </c>
      <c r="GI12" s="115">
        <f t="shared" si="221"/>
        <v>0</v>
      </c>
      <c r="GJ12" s="139">
        <f t="shared" si="227"/>
        <v>886605.74292252259</v>
      </c>
      <c r="GK12" s="321">
        <f t="shared" si="222"/>
        <v>902848.67401752074</v>
      </c>
      <c r="GL12" s="196">
        <f t="shared" si="228"/>
        <v>0.64508721732467689</v>
      </c>
      <c r="GM12" s="237">
        <v>902848.67</v>
      </c>
      <c r="GN12" s="244"/>
    </row>
    <row r="13" spans="1:196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360237</v>
      </c>
      <c r="I13" s="29">
        <f>'Расчет КРП'!G11</f>
        <v>6.4152924698032363</v>
      </c>
      <c r="J13" s="102" t="s">
        <v>8</v>
      </c>
      <c r="K13" s="106">
        <f t="shared" si="104"/>
        <v>8.5507791019891269E-2</v>
      </c>
      <c r="L13" s="72">
        <f t="shared" si="223"/>
        <v>128138.67863831879</v>
      </c>
      <c r="M13" s="68">
        <f t="shared" si="224"/>
        <v>0.11592347667841713</v>
      </c>
      <c r="N13" s="27" t="s">
        <v>8</v>
      </c>
      <c r="O13" s="30">
        <f t="shared" si="225"/>
        <v>8.6994681040897526E-2</v>
      </c>
      <c r="P13" s="31">
        <f t="shared" si="105"/>
        <v>438014.86558834271</v>
      </c>
      <c r="Q13" s="75">
        <f>IF(($F$20-P$20)&gt;0,P13,$F$20*P13/P$20)</f>
        <v>438014.86558834271</v>
      </c>
      <c r="R13" s="134" t="s">
        <v>8</v>
      </c>
      <c r="S13" s="27" t="s">
        <v>8</v>
      </c>
      <c r="T13" s="32">
        <f t="shared" si="106"/>
        <v>0.21989304002236507</v>
      </c>
      <c r="U13" s="30">
        <f t="shared" si="107"/>
        <v>9.0274834827727551E-2</v>
      </c>
      <c r="V13" s="48">
        <f t="shared" si="108"/>
        <v>595831.08212132857</v>
      </c>
      <c r="W13" s="75">
        <f t="shared" si="109"/>
        <v>595831.08212132857</v>
      </c>
      <c r="X13" s="71" t="s">
        <v>8</v>
      </c>
      <c r="Y13" s="27" t="s">
        <v>8</v>
      </c>
      <c r="Z13" s="32">
        <f t="shared" si="110"/>
        <v>0.36132270897137991</v>
      </c>
      <c r="AA13" s="30">
        <f t="shared" si="111"/>
        <v>6.1431908551471737E-2</v>
      </c>
      <c r="AB13" s="48">
        <f t="shared" si="112"/>
        <v>517913.76046949538</v>
      </c>
      <c r="AC13" s="75">
        <f t="shared" si="113"/>
        <v>517913.76046949538</v>
      </c>
      <c r="AD13" s="71" t="s">
        <v>8</v>
      </c>
      <c r="AE13" s="27" t="s">
        <v>8</v>
      </c>
      <c r="AF13" s="32">
        <f t="shared" si="114"/>
        <v>0.48425750355536662</v>
      </c>
      <c r="AG13" s="30">
        <f t="shared" si="115"/>
        <v>4.4758227461627886E-2</v>
      </c>
      <c r="AH13" s="48">
        <f t="shared" si="116"/>
        <v>451929.73983559292</v>
      </c>
      <c r="AI13" s="75">
        <f t="shared" si="117"/>
        <v>451929.73983559292</v>
      </c>
      <c r="AJ13" s="71" t="s">
        <v>8</v>
      </c>
      <c r="AK13" s="27" t="s">
        <v>8</v>
      </c>
      <c r="AL13" s="32">
        <f t="shared" si="118"/>
        <v>0.59152997625954673</v>
      </c>
      <c r="AM13" s="30">
        <f t="shared" si="119"/>
        <v>3.155346402552317E-2</v>
      </c>
      <c r="AN13" s="48">
        <f t="shared" si="120"/>
        <v>388729.50087912782</v>
      </c>
      <c r="AO13" s="75">
        <f t="shared" si="121"/>
        <v>205275.9870617612</v>
      </c>
      <c r="AP13" s="71" t="s">
        <v>8</v>
      </c>
      <c r="AQ13" s="27" t="s">
        <v>8</v>
      </c>
      <c r="AR13" s="32">
        <f t="shared" si="122"/>
        <v>0.64025538814971616</v>
      </c>
      <c r="AS13" s="30">
        <f t="shared" si="123"/>
        <v>3.1331481651787674E-2</v>
      </c>
      <c r="AT13" s="48">
        <f t="shared" si="124"/>
        <v>418174.1113389415</v>
      </c>
      <c r="AU13" s="75">
        <f t="shared" si="125"/>
        <v>0</v>
      </c>
      <c r="AV13" s="71" t="s">
        <v>8</v>
      </c>
      <c r="AW13" s="27" t="s">
        <v>8</v>
      </c>
      <c r="AX13" s="32">
        <f t="shared" si="126"/>
        <v>0.64025538814971616</v>
      </c>
      <c r="AY13" s="30">
        <f t="shared" si="127"/>
        <v>3.1331481651787674E-2</v>
      </c>
      <c r="AZ13" s="48">
        <f t="shared" si="128"/>
        <v>418174.1113389415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0.64025538814971616</v>
      </c>
      <c r="BE13" s="30">
        <f t="shared" si="131"/>
        <v>3.1331481651787674E-2</v>
      </c>
      <c r="BF13" s="48">
        <f t="shared" si="132"/>
        <v>418174.1113389415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0.64025538814971616</v>
      </c>
      <c r="BK13" s="30">
        <f t="shared" si="135"/>
        <v>3.1331481651787674E-2</v>
      </c>
      <c r="BL13" s="48">
        <f t="shared" si="136"/>
        <v>418174.1113389415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0.64025538814971616</v>
      </c>
      <c r="BQ13" s="30">
        <f t="shared" si="139"/>
        <v>3.1331481651787674E-2</v>
      </c>
      <c r="BR13" s="48">
        <f t="shared" si="140"/>
        <v>418174.1113389415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0.64025538814971616</v>
      </c>
      <c r="BW13" s="30">
        <f t="shared" si="143"/>
        <v>3.1331481651787674E-2</v>
      </c>
      <c r="BX13" s="48">
        <f t="shared" si="144"/>
        <v>418174.1113389415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0.64025538814971616</v>
      </c>
      <c r="CC13" s="30">
        <f t="shared" si="147"/>
        <v>3.1331481651787674E-2</v>
      </c>
      <c r="CD13" s="48">
        <f t="shared" si="148"/>
        <v>418174.1113389415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0.64025538814971616</v>
      </c>
      <c r="CI13" s="30">
        <f t="shared" si="151"/>
        <v>3.1331481651787674E-2</v>
      </c>
      <c r="CJ13" s="48">
        <f t="shared" si="152"/>
        <v>418174.1113389415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0.64025538814971616</v>
      </c>
      <c r="CO13" s="30">
        <f t="shared" si="155"/>
        <v>3.1331481651787674E-2</v>
      </c>
      <c r="CP13" s="48">
        <f t="shared" si="156"/>
        <v>418174.1113389415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0.64025538814971616</v>
      </c>
      <c r="CU13" s="30">
        <f t="shared" si="159"/>
        <v>3.1331481651787674E-2</v>
      </c>
      <c r="CV13" s="48">
        <f t="shared" si="160"/>
        <v>418174.1113389415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0.64025538814971616</v>
      </c>
      <c r="DA13" s="30">
        <f t="shared" si="163"/>
        <v>3.1331481651787674E-2</v>
      </c>
      <c r="DB13" s="48">
        <f t="shared" si="164"/>
        <v>418174.1113389415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0.64025538814971616</v>
      </c>
      <c r="DG13" s="30">
        <f t="shared" si="167"/>
        <v>3.1331481651787674E-2</v>
      </c>
      <c r="DH13" s="48">
        <f t="shared" si="168"/>
        <v>418174.1113389415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0.64025538814971616</v>
      </c>
      <c r="DM13" s="30">
        <f t="shared" si="171"/>
        <v>3.1331481651787674E-2</v>
      </c>
      <c r="DN13" s="48">
        <f t="shared" si="172"/>
        <v>418174.1113389415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0.64025538814971616</v>
      </c>
      <c r="DS13" s="30">
        <f t="shared" si="175"/>
        <v>3.1331481651787674E-2</v>
      </c>
      <c r="DT13" s="48">
        <f t="shared" si="176"/>
        <v>418174.1113389415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0.64025538814971616</v>
      </c>
      <c r="DY13" s="30">
        <f t="shared" si="179"/>
        <v>3.1331481651787674E-2</v>
      </c>
      <c r="DZ13" s="31">
        <f t="shared" si="180"/>
        <v>418174.1113389415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0.64025538814971616</v>
      </c>
      <c r="EE13" s="30">
        <f t="shared" si="183"/>
        <v>3.1331481651787674E-2</v>
      </c>
      <c r="EF13" s="31">
        <f t="shared" si="184"/>
        <v>418174.1113389415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0.64025538814971616</v>
      </c>
      <c r="EK13" s="30">
        <f t="shared" si="187"/>
        <v>3.1331481651787674E-2</v>
      </c>
      <c r="EL13" s="31">
        <f t="shared" si="188"/>
        <v>418174.1113389415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0.64025538814971616</v>
      </c>
      <c r="EQ13" s="30">
        <f t="shared" si="191"/>
        <v>3.1331481651787674E-2</v>
      </c>
      <c r="ER13" s="31">
        <f t="shared" si="192"/>
        <v>418174.1113389415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0.64025538814971616</v>
      </c>
      <c r="EW13" s="30">
        <f t="shared" si="195"/>
        <v>3.1331481651787674E-2</v>
      </c>
      <c r="EX13" s="31">
        <f t="shared" si="196"/>
        <v>418174.1113389415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0.64025538814971616</v>
      </c>
      <c r="FC13" s="30">
        <f t="shared" si="199"/>
        <v>3.1331481651787674E-2</v>
      </c>
      <c r="FD13" s="31">
        <f t="shared" si="200"/>
        <v>418174.1113389415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0.64025538814971616</v>
      </c>
      <c r="FI13" s="30">
        <f t="shared" si="203"/>
        <v>3.1331481651787674E-2</v>
      </c>
      <c r="FJ13" s="31">
        <f t="shared" si="204"/>
        <v>418174.1113389415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0.64025538814971616</v>
      </c>
      <c r="FO13" s="30">
        <f t="shared" si="207"/>
        <v>3.1331481651787674E-2</v>
      </c>
      <c r="FP13" s="31">
        <f t="shared" si="208"/>
        <v>418174.1113389415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0.64025538814971616</v>
      </c>
      <c r="FU13" s="30">
        <f t="shared" si="211"/>
        <v>3.1331481651787674E-2</v>
      </c>
      <c r="FV13" s="31">
        <f t="shared" si="212"/>
        <v>418174.1113389415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0.64025538814971616</v>
      </c>
      <c r="GA13" s="30">
        <f t="shared" si="215"/>
        <v>3.1331481651787674E-2</v>
      </c>
      <c r="GB13" s="31">
        <f t="shared" si="216"/>
        <v>418174.1113389415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0.64025538814971616</v>
      </c>
      <c r="GG13" s="30">
        <f t="shared" si="219"/>
        <v>3.1331481651787674E-2</v>
      </c>
      <c r="GH13" s="31">
        <f t="shared" si="220"/>
        <v>418174.1113389415</v>
      </c>
      <c r="GI13" s="115">
        <f t="shared" si="221"/>
        <v>0</v>
      </c>
      <c r="GJ13" s="139">
        <f t="shared" si="227"/>
        <v>2208965.4350765208</v>
      </c>
      <c r="GK13" s="321">
        <f t="shared" si="222"/>
        <v>2337104.1137148393</v>
      </c>
      <c r="GL13" s="196">
        <f t="shared" si="228"/>
        <v>0.64025538814971616</v>
      </c>
      <c r="GM13" s="237">
        <v>2337104.11</v>
      </c>
      <c r="GN13" s="244"/>
    </row>
    <row r="14" spans="1:196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192604</v>
      </c>
      <c r="I14" s="29">
        <f>'Расчет КРП'!G12</f>
        <v>7.9728886319877086</v>
      </c>
      <c r="J14" s="102" t="s">
        <v>8</v>
      </c>
      <c r="K14" s="106">
        <f t="shared" si="104"/>
        <v>8.1157975836692917E-2</v>
      </c>
      <c r="L14" s="72">
        <f t="shared" si="223"/>
        <v>58080.783915447952</v>
      </c>
      <c r="M14" s="68">
        <f t="shared" si="224"/>
        <v>0.10563160492843611</v>
      </c>
      <c r="N14" s="27" t="s">
        <v>8</v>
      </c>
      <c r="O14" s="30">
        <f t="shared" si="225"/>
        <v>9.7286552790878542E-2</v>
      </c>
      <c r="P14" s="31">
        <f t="shared" si="105"/>
        <v>275930.95909575996</v>
      </c>
      <c r="Q14" s="75">
        <f t="shared" si="226"/>
        <v>275930.95909575996</v>
      </c>
      <c r="R14" s="134" t="s">
        <v>8</v>
      </c>
      <c r="S14" s="27" t="s">
        <v>8</v>
      </c>
      <c r="T14" s="32">
        <f t="shared" si="106"/>
        <v>0.22190124684080134</v>
      </c>
      <c r="U14" s="30">
        <f t="shared" si="107"/>
        <v>8.8266628009291276E-2</v>
      </c>
      <c r="V14" s="48">
        <f t="shared" si="108"/>
        <v>328174.21397815645</v>
      </c>
      <c r="W14" s="75">
        <f t="shared" si="109"/>
        <v>328174.21397815645</v>
      </c>
      <c r="X14" s="71" t="s">
        <v>8</v>
      </c>
      <c r="Y14" s="27" t="s">
        <v>8</v>
      </c>
      <c r="Z14" s="32">
        <f t="shared" si="110"/>
        <v>0.3601847452534247</v>
      </c>
      <c r="AA14" s="30">
        <f t="shared" si="111"/>
        <v>6.2569872269426952E-2</v>
      </c>
      <c r="AB14" s="48">
        <f t="shared" si="112"/>
        <v>297153.03872835473</v>
      </c>
      <c r="AC14" s="75">
        <f t="shared" si="113"/>
        <v>297153.03872835473</v>
      </c>
      <c r="AD14" s="71" t="s">
        <v>8</v>
      </c>
      <c r="AE14" s="27" t="s">
        <v>8</v>
      </c>
      <c r="AF14" s="32">
        <f t="shared" si="114"/>
        <v>0.48539678205907627</v>
      </c>
      <c r="AG14" s="30">
        <f t="shared" si="115"/>
        <v>4.3618948957918235E-2</v>
      </c>
      <c r="AH14" s="48">
        <f t="shared" si="116"/>
        <v>248098.82340262691</v>
      </c>
      <c r="AI14" s="75">
        <f t="shared" si="117"/>
        <v>248098.82340262691</v>
      </c>
      <c r="AJ14" s="71" t="s">
        <v>8</v>
      </c>
      <c r="AK14" s="27" t="s">
        <v>8</v>
      </c>
      <c r="AL14" s="32">
        <f t="shared" si="118"/>
        <v>0.58993873505497629</v>
      </c>
      <c r="AM14" s="30">
        <f t="shared" si="119"/>
        <v>3.3144705230093607E-2</v>
      </c>
      <c r="AN14" s="48">
        <f t="shared" si="120"/>
        <v>230020.25627378159</v>
      </c>
      <c r="AO14" s="75">
        <f t="shared" si="121"/>
        <v>121466.55976460535</v>
      </c>
      <c r="AP14" s="71" t="s">
        <v>8</v>
      </c>
      <c r="AQ14" s="27" t="s">
        <v>8</v>
      </c>
      <c r="AR14" s="32">
        <f t="shared" si="122"/>
        <v>0.64112136948802045</v>
      </c>
      <c r="AS14" s="30">
        <f t="shared" si="123"/>
        <v>3.0465500313483385E-2</v>
      </c>
      <c r="AT14" s="48">
        <f t="shared" si="124"/>
        <v>229053.00292432055</v>
      </c>
      <c r="AU14" s="75">
        <f t="shared" si="125"/>
        <v>0</v>
      </c>
      <c r="AV14" s="71" t="s">
        <v>8</v>
      </c>
      <c r="AW14" s="27" t="s">
        <v>8</v>
      </c>
      <c r="AX14" s="32">
        <f t="shared" si="126"/>
        <v>0.64112136948802045</v>
      </c>
      <c r="AY14" s="30">
        <f t="shared" si="127"/>
        <v>3.0465500313483385E-2</v>
      </c>
      <c r="AZ14" s="48">
        <f t="shared" si="128"/>
        <v>229053.00292432055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0.64112136948802045</v>
      </c>
      <c r="BE14" s="30">
        <f t="shared" si="131"/>
        <v>3.0465500313483385E-2</v>
      </c>
      <c r="BF14" s="48">
        <f t="shared" si="132"/>
        <v>229053.00292432055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0.64112136948802045</v>
      </c>
      <c r="BK14" s="30">
        <f t="shared" si="135"/>
        <v>3.0465500313483385E-2</v>
      </c>
      <c r="BL14" s="48">
        <f t="shared" si="136"/>
        <v>229053.00292432055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0.64112136948802045</v>
      </c>
      <c r="BQ14" s="30">
        <f t="shared" si="139"/>
        <v>3.0465500313483385E-2</v>
      </c>
      <c r="BR14" s="48">
        <f t="shared" si="140"/>
        <v>229053.00292432055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0.64112136948802045</v>
      </c>
      <c r="BW14" s="30">
        <f t="shared" si="143"/>
        <v>3.0465500313483385E-2</v>
      </c>
      <c r="BX14" s="48">
        <f t="shared" si="144"/>
        <v>229053.00292432055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0.64112136948802045</v>
      </c>
      <c r="CC14" s="30">
        <f t="shared" si="147"/>
        <v>3.0465500313483385E-2</v>
      </c>
      <c r="CD14" s="48">
        <f t="shared" si="148"/>
        <v>229053.00292432055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0.64112136948802045</v>
      </c>
      <c r="CI14" s="30">
        <f t="shared" si="151"/>
        <v>3.0465500313483385E-2</v>
      </c>
      <c r="CJ14" s="48">
        <f t="shared" si="152"/>
        <v>229053.00292432055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0.64112136948802045</v>
      </c>
      <c r="CO14" s="30">
        <f t="shared" si="155"/>
        <v>3.0465500313483385E-2</v>
      </c>
      <c r="CP14" s="48">
        <f t="shared" si="156"/>
        <v>229053.00292432055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0.64112136948802045</v>
      </c>
      <c r="CU14" s="30">
        <f t="shared" si="159"/>
        <v>3.0465500313483385E-2</v>
      </c>
      <c r="CV14" s="48">
        <f t="shared" si="160"/>
        <v>229053.00292432055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0.64112136948802045</v>
      </c>
      <c r="DA14" s="30">
        <f t="shared" si="163"/>
        <v>3.0465500313483385E-2</v>
      </c>
      <c r="DB14" s="48">
        <f t="shared" si="164"/>
        <v>229053.00292432055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0.64112136948802045</v>
      </c>
      <c r="DG14" s="30">
        <f t="shared" si="167"/>
        <v>3.0465500313483385E-2</v>
      </c>
      <c r="DH14" s="48">
        <f t="shared" si="168"/>
        <v>229053.00292432055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0.64112136948802045</v>
      </c>
      <c r="DM14" s="30">
        <f t="shared" si="171"/>
        <v>3.0465500313483385E-2</v>
      </c>
      <c r="DN14" s="48">
        <f t="shared" si="172"/>
        <v>229053.00292432055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0.64112136948802045</v>
      </c>
      <c r="DS14" s="30">
        <f t="shared" si="175"/>
        <v>3.0465500313483385E-2</v>
      </c>
      <c r="DT14" s="48">
        <f t="shared" si="176"/>
        <v>229053.00292432055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0.64112136948802045</v>
      </c>
      <c r="DY14" s="30">
        <f t="shared" si="179"/>
        <v>3.0465500313483385E-2</v>
      </c>
      <c r="DZ14" s="31">
        <f t="shared" si="180"/>
        <v>229053.00292432055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0.64112136948802045</v>
      </c>
      <c r="EE14" s="30">
        <f t="shared" si="183"/>
        <v>3.0465500313483385E-2</v>
      </c>
      <c r="EF14" s="31">
        <f t="shared" si="184"/>
        <v>229053.00292432055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0.64112136948802045</v>
      </c>
      <c r="EK14" s="30">
        <f t="shared" si="187"/>
        <v>3.0465500313483385E-2</v>
      </c>
      <c r="EL14" s="31">
        <f t="shared" si="188"/>
        <v>229053.00292432055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0.64112136948802045</v>
      </c>
      <c r="EQ14" s="30">
        <f t="shared" si="191"/>
        <v>3.0465500313483385E-2</v>
      </c>
      <c r="ER14" s="31">
        <f t="shared" si="192"/>
        <v>229053.00292432055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0.64112136948802045</v>
      </c>
      <c r="EW14" s="30">
        <f t="shared" si="195"/>
        <v>3.0465500313483385E-2</v>
      </c>
      <c r="EX14" s="31">
        <f t="shared" si="196"/>
        <v>229053.00292432055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0.64112136948802045</v>
      </c>
      <c r="FC14" s="30">
        <f t="shared" si="199"/>
        <v>3.0465500313483385E-2</v>
      </c>
      <c r="FD14" s="31">
        <f t="shared" si="200"/>
        <v>229053.00292432055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0.64112136948802045</v>
      </c>
      <c r="FI14" s="30">
        <f t="shared" si="203"/>
        <v>3.0465500313483385E-2</v>
      </c>
      <c r="FJ14" s="31">
        <f t="shared" si="204"/>
        <v>229053.00292432055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0.64112136948802045</v>
      </c>
      <c r="FO14" s="30">
        <f t="shared" si="207"/>
        <v>3.0465500313483385E-2</v>
      </c>
      <c r="FP14" s="31">
        <f t="shared" si="208"/>
        <v>229053.00292432055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0.64112136948802045</v>
      </c>
      <c r="FU14" s="30">
        <f t="shared" si="211"/>
        <v>3.0465500313483385E-2</v>
      </c>
      <c r="FV14" s="31">
        <f t="shared" si="212"/>
        <v>229053.00292432055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0.64112136948802045</v>
      </c>
      <c r="GA14" s="30">
        <f t="shared" si="215"/>
        <v>3.0465500313483385E-2</v>
      </c>
      <c r="GB14" s="31">
        <f t="shared" si="216"/>
        <v>229053.00292432055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0.64112136948802045</v>
      </c>
      <c r="GG14" s="30">
        <f t="shared" si="219"/>
        <v>3.0465500313483385E-2</v>
      </c>
      <c r="GH14" s="31">
        <f t="shared" si="220"/>
        <v>229053.00292432055</v>
      </c>
      <c r="GI14" s="115">
        <f t="shared" si="221"/>
        <v>0</v>
      </c>
      <c r="GJ14" s="139">
        <f t="shared" si="227"/>
        <v>1270823.5949695033</v>
      </c>
      <c r="GK14" s="321">
        <f t="shared" si="222"/>
        <v>1328904.3788849514</v>
      </c>
      <c r="GL14" s="196">
        <f t="shared" si="228"/>
        <v>0.64112136948802045</v>
      </c>
      <c r="GM14" s="237">
        <v>1328904.3799999999</v>
      </c>
      <c r="GN14" s="244"/>
    </row>
    <row r="15" spans="1:196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145675</v>
      </c>
      <c r="I15" s="29">
        <f>'Расчет КРП'!G13</f>
        <v>7.8609120505546572</v>
      </c>
      <c r="J15" s="102" t="s">
        <v>8</v>
      </c>
      <c r="K15" s="106">
        <f t="shared" si="104"/>
        <v>6.6183955627519178E-2</v>
      </c>
      <c r="L15" s="72">
        <f t="shared" si="223"/>
        <v>54635.31368317562</v>
      </c>
      <c r="M15" s="68">
        <f t="shared" si="224"/>
        <v>9.1006204994280027E-2</v>
      </c>
      <c r="N15" s="27" t="s">
        <v>8</v>
      </c>
      <c r="O15" s="30">
        <f t="shared" si="225"/>
        <v>0.11191195272503462</v>
      </c>
      <c r="P15" s="31">
        <f t="shared" si="105"/>
        <v>294389.48931310821</v>
      </c>
      <c r="Q15" s="75">
        <f t="shared" si="226"/>
        <v>294389.48931310821</v>
      </c>
      <c r="R15" s="134" t="s">
        <v>8</v>
      </c>
      <c r="S15" s="27" t="s">
        <v>8</v>
      </c>
      <c r="T15" s="32">
        <f t="shared" si="106"/>
        <v>0.22475503559600846</v>
      </c>
      <c r="U15" s="30">
        <f t="shared" si="107"/>
        <v>8.5412839254084161E-2</v>
      </c>
      <c r="V15" s="48">
        <f t="shared" si="108"/>
        <v>294529.83062724676</v>
      </c>
      <c r="W15" s="75">
        <f t="shared" si="109"/>
        <v>294529.83062724676</v>
      </c>
      <c r="X15" s="71" t="s">
        <v>8</v>
      </c>
      <c r="Y15" s="27" t="s">
        <v>8</v>
      </c>
      <c r="Z15" s="32">
        <f t="shared" si="110"/>
        <v>0.35856762692063132</v>
      </c>
      <c r="AA15" s="30">
        <f t="shared" si="111"/>
        <v>6.4186990602220328E-2</v>
      </c>
      <c r="AB15" s="48">
        <f t="shared" si="112"/>
        <v>282722.34393893613</v>
      </c>
      <c r="AC15" s="75">
        <f t="shared" si="113"/>
        <v>282722.34393893613</v>
      </c>
      <c r="AD15" s="71" t="s">
        <v>8</v>
      </c>
      <c r="AE15" s="27" t="s">
        <v>8</v>
      </c>
      <c r="AF15" s="32">
        <f t="shared" si="114"/>
        <v>0.48701576878548636</v>
      </c>
      <c r="AG15" s="30">
        <f t="shared" si="115"/>
        <v>4.1999962231508148E-2</v>
      </c>
      <c r="AH15" s="48">
        <f t="shared" si="116"/>
        <v>221562.68472523274</v>
      </c>
      <c r="AI15" s="75">
        <f t="shared" si="117"/>
        <v>221562.68472523274</v>
      </c>
      <c r="AJ15" s="71" t="s">
        <v>8</v>
      </c>
      <c r="AK15" s="27" t="s">
        <v>8</v>
      </c>
      <c r="AL15" s="32">
        <f t="shared" si="118"/>
        <v>0.58767748077840765</v>
      </c>
      <c r="AM15" s="30">
        <f t="shared" si="119"/>
        <v>3.5405959506662255E-2</v>
      </c>
      <c r="AN15" s="48">
        <f t="shared" si="120"/>
        <v>227890.64697083464</v>
      </c>
      <c r="AO15" s="75">
        <f t="shared" si="121"/>
        <v>120341.97917391259</v>
      </c>
      <c r="AP15" s="71" t="s">
        <v>8</v>
      </c>
      <c r="AQ15" s="27" t="s">
        <v>8</v>
      </c>
      <c r="AR15" s="32">
        <f t="shared" si="122"/>
        <v>0.64235198367714852</v>
      </c>
      <c r="AS15" s="30">
        <f t="shared" si="123"/>
        <v>2.9234886124355319E-2</v>
      </c>
      <c r="AT15" s="48">
        <f t="shared" si="124"/>
        <v>203857.78107757776</v>
      </c>
      <c r="AU15" s="75">
        <f t="shared" si="125"/>
        <v>0</v>
      </c>
      <c r="AV15" s="71" t="s">
        <v>8</v>
      </c>
      <c r="AW15" s="27" t="s">
        <v>8</v>
      </c>
      <c r="AX15" s="32">
        <f t="shared" si="126"/>
        <v>0.64235198367714852</v>
      </c>
      <c r="AY15" s="30">
        <f t="shared" si="127"/>
        <v>2.9234886124355319E-2</v>
      </c>
      <c r="AZ15" s="48">
        <f t="shared" si="128"/>
        <v>203857.78107757776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0.64235198367714852</v>
      </c>
      <c r="BE15" s="30">
        <f t="shared" si="131"/>
        <v>2.9234886124355319E-2</v>
      </c>
      <c r="BF15" s="48">
        <f t="shared" si="132"/>
        <v>203857.78107757776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0.64235198367714852</v>
      </c>
      <c r="BK15" s="30">
        <f t="shared" si="135"/>
        <v>2.9234886124355319E-2</v>
      </c>
      <c r="BL15" s="48">
        <f t="shared" si="136"/>
        <v>203857.78107757776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0.64235198367714852</v>
      </c>
      <c r="BQ15" s="30">
        <f t="shared" si="139"/>
        <v>2.9234886124355319E-2</v>
      </c>
      <c r="BR15" s="48">
        <f t="shared" si="140"/>
        <v>203857.78107757776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0.64235198367714852</v>
      </c>
      <c r="BW15" s="30">
        <f t="shared" si="143"/>
        <v>2.9234886124355319E-2</v>
      </c>
      <c r="BX15" s="48">
        <f t="shared" si="144"/>
        <v>203857.78107757776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0.64235198367714852</v>
      </c>
      <c r="CC15" s="30">
        <f t="shared" si="147"/>
        <v>2.9234886124355319E-2</v>
      </c>
      <c r="CD15" s="48">
        <f t="shared" si="148"/>
        <v>203857.78107757776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0.64235198367714852</v>
      </c>
      <c r="CI15" s="30">
        <f t="shared" si="151"/>
        <v>2.9234886124355319E-2</v>
      </c>
      <c r="CJ15" s="48">
        <f t="shared" si="152"/>
        <v>203857.78107757776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0.64235198367714852</v>
      </c>
      <c r="CO15" s="30">
        <f t="shared" si="155"/>
        <v>2.9234886124355319E-2</v>
      </c>
      <c r="CP15" s="48">
        <f t="shared" si="156"/>
        <v>203857.78107757776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0.64235198367714852</v>
      </c>
      <c r="CU15" s="30">
        <f t="shared" si="159"/>
        <v>2.9234886124355319E-2</v>
      </c>
      <c r="CV15" s="48">
        <f t="shared" si="160"/>
        <v>203857.78107757776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0.64235198367714852</v>
      </c>
      <c r="DA15" s="30">
        <f t="shared" si="163"/>
        <v>2.9234886124355319E-2</v>
      </c>
      <c r="DB15" s="48">
        <f t="shared" si="164"/>
        <v>203857.78107757776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0.64235198367714852</v>
      </c>
      <c r="DG15" s="30">
        <f t="shared" si="167"/>
        <v>2.9234886124355319E-2</v>
      </c>
      <c r="DH15" s="48">
        <f t="shared" si="168"/>
        <v>203857.78107757776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0.64235198367714852</v>
      </c>
      <c r="DM15" s="30">
        <f t="shared" si="171"/>
        <v>2.9234886124355319E-2</v>
      </c>
      <c r="DN15" s="48">
        <f t="shared" si="172"/>
        <v>203857.78107757776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0.64235198367714852</v>
      </c>
      <c r="DS15" s="30">
        <f t="shared" si="175"/>
        <v>2.9234886124355319E-2</v>
      </c>
      <c r="DT15" s="48">
        <f t="shared" si="176"/>
        <v>203857.78107757776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0.64235198367714852</v>
      </c>
      <c r="DY15" s="30">
        <f t="shared" si="179"/>
        <v>2.9234886124355319E-2</v>
      </c>
      <c r="DZ15" s="31">
        <f t="shared" si="180"/>
        <v>203857.78107757776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0.64235198367714852</v>
      </c>
      <c r="EE15" s="30">
        <f t="shared" si="183"/>
        <v>2.9234886124355319E-2</v>
      </c>
      <c r="EF15" s="31">
        <f t="shared" si="184"/>
        <v>203857.78107757776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0.64235198367714852</v>
      </c>
      <c r="EK15" s="30">
        <f t="shared" si="187"/>
        <v>2.9234886124355319E-2</v>
      </c>
      <c r="EL15" s="31">
        <f t="shared" si="188"/>
        <v>203857.78107757776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0.64235198367714852</v>
      </c>
      <c r="EQ15" s="30">
        <f t="shared" si="191"/>
        <v>2.9234886124355319E-2</v>
      </c>
      <c r="ER15" s="31">
        <f t="shared" si="192"/>
        <v>203857.78107757776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0.64235198367714852</v>
      </c>
      <c r="EW15" s="30">
        <f t="shared" si="195"/>
        <v>2.9234886124355319E-2</v>
      </c>
      <c r="EX15" s="31">
        <f t="shared" si="196"/>
        <v>203857.78107757776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0.64235198367714852</v>
      </c>
      <c r="FC15" s="30">
        <f t="shared" si="199"/>
        <v>2.9234886124355319E-2</v>
      </c>
      <c r="FD15" s="31">
        <f t="shared" si="200"/>
        <v>203857.78107757776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0.64235198367714852</v>
      </c>
      <c r="FI15" s="30">
        <f t="shared" si="203"/>
        <v>2.9234886124355319E-2</v>
      </c>
      <c r="FJ15" s="31">
        <f t="shared" si="204"/>
        <v>203857.78107757776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0.64235198367714852</v>
      </c>
      <c r="FO15" s="30">
        <f t="shared" si="207"/>
        <v>2.9234886124355319E-2</v>
      </c>
      <c r="FP15" s="31">
        <f t="shared" si="208"/>
        <v>203857.78107757776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0.64235198367714852</v>
      </c>
      <c r="FU15" s="30">
        <f t="shared" si="211"/>
        <v>2.9234886124355319E-2</v>
      </c>
      <c r="FV15" s="31">
        <f t="shared" si="212"/>
        <v>203857.78107757776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0.64235198367714852</v>
      </c>
      <c r="GA15" s="30">
        <f t="shared" si="215"/>
        <v>2.9234886124355319E-2</v>
      </c>
      <c r="GB15" s="31">
        <f t="shared" si="216"/>
        <v>203857.78107757776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0.64235198367714852</v>
      </c>
      <c r="GG15" s="30">
        <f t="shared" si="219"/>
        <v>2.9234886124355319E-2</v>
      </c>
      <c r="GH15" s="31">
        <f t="shared" si="220"/>
        <v>203857.78107757776</v>
      </c>
      <c r="GI15" s="115">
        <f t="shared" si="221"/>
        <v>0</v>
      </c>
      <c r="GJ15" s="139">
        <f t="shared" si="227"/>
        <v>1213546.3277784365</v>
      </c>
      <c r="GK15" s="321">
        <f>L15+GJ15</f>
        <v>1268181.6414616122</v>
      </c>
      <c r="GL15" s="196">
        <f t="shared" si="228"/>
        <v>0.64235198367714863</v>
      </c>
      <c r="GM15" s="237">
        <v>1268181.6399999999</v>
      </c>
      <c r="GN15" s="244"/>
    </row>
    <row r="16" spans="1:196" s="22" customFormat="1" x14ac:dyDescent="0.25">
      <c r="A16" s="227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219486</v>
      </c>
      <c r="I16" s="29">
        <f>'Расчет КРП'!G14</f>
        <v>9.8008161850285056</v>
      </c>
      <c r="J16" s="102" t="s">
        <v>8</v>
      </c>
      <c r="K16" s="228">
        <f t="shared" si="104"/>
        <v>9.1210868813842411E-2</v>
      </c>
      <c r="L16" s="229">
        <f t="shared" si="223"/>
        <v>47908.443229691533</v>
      </c>
      <c r="M16" s="68">
        <f t="shared" si="224"/>
        <v>0.1111199779620287</v>
      </c>
      <c r="N16" s="27" t="s">
        <v>8</v>
      </c>
      <c r="O16" s="30">
        <f t="shared" si="225"/>
        <v>9.179817975728595E-2</v>
      </c>
      <c r="P16" s="31">
        <f t="shared" si="105"/>
        <v>264002.36712718918</v>
      </c>
      <c r="Q16" s="75">
        <f t="shared" si="226"/>
        <v>264002.36712718918</v>
      </c>
      <c r="R16" s="134" t="s">
        <v>8</v>
      </c>
      <c r="S16" s="27" t="s">
        <v>8</v>
      </c>
      <c r="T16" s="32">
        <f t="shared" si="106"/>
        <v>0.22083032520322823</v>
      </c>
      <c r="U16" s="30">
        <f t="shared" si="107"/>
        <v>8.9337549646864384E-2</v>
      </c>
      <c r="V16" s="48">
        <f t="shared" si="108"/>
        <v>336796.90356739116</v>
      </c>
      <c r="W16" s="75">
        <f t="shared" si="109"/>
        <v>336796.90356739116</v>
      </c>
      <c r="X16" s="71" t="s">
        <v>8</v>
      </c>
      <c r="Y16" s="27" t="s">
        <v>8</v>
      </c>
      <c r="Z16" s="32">
        <f t="shared" si="110"/>
        <v>0.36079159010483314</v>
      </c>
      <c r="AA16" s="30">
        <f t="shared" si="111"/>
        <v>6.1963027418018513E-2</v>
      </c>
      <c r="AB16" s="48">
        <f t="shared" si="112"/>
        <v>298382.72210213781</v>
      </c>
      <c r="AC16" s="75">
        <f t="shared" si="113"/>
        <v>298382.72210213781</v>
      </c>
      <c r="AD16" s="71" t="s">
        <v>8</v>
      </c>
      <c r="AE16" s="27" t="s">
        <v>8</v>
      </c>
      <c r="AF16" s="32">
        <f t="shared" si="114"/>
        <v>0.48478923606847224</v>
      </c>
      <c r="AG16" s="30">
        <f t="shared" si="115"/>
        <v>4.4226494948522266E-2</v>
      </c>
      <c r="AH16" s="48">
        <f t="shared" si="116"/>
        <v>255069.28551612215</v>
      </c>
      <c r="AI16" s="75">
        <f t="shared" si="117"/>
        <v>255069.28551612215</v>
      </c>
      <c r="AJ16" s="71" t="s">
        <v>8</v>
      </c>
      <c r="AK16" s="27" t="s">
        <v>8</v>
      </c>
      <c r="AL16" s="32">
        <f t="shared" si="118"/>
        <v>0.59078730036255711</v>
      </c>
      <c r="AM16" s="30">
        <f t="shared" si="119"/>
        <v>3.229613992251279E-2</v>
      </c>
      <c r="AN16" s="48">
        <f t="shared" si="120"/>
        <v>227262.96878420148</v>
      </c>
      <c r="AO16" s="75">
        <f t="shared" si="121"/>
        <v>120010.52180052863</v>
      </c>
      <c r="AP16" s="71" t="s">
        <v>8</v>
      </c>
      <c r="AQ16" s="27" t="s">
        <v>8</v>
      </c>
      <c r="AR16" s="32">
        <f t="shared" si="122"/>
        <v>0.64065956538278068</v>
      </c>
      <c r="AS16" s="30">
        <f t="shared" si="123"/>
        <v>3.0927304418723156E-2</v>
      </c>
      <c r="AT16" s="48">
        <f t="shared" si="124"/>
        <v>235773.98290460292</v>
      </c>
      <c r="AU16" s="75">
        <f t="shared" si="125"/>
        <v>0</v>
      </c>
      <c r="AV16" s="71" t="s">
        <v>8</v>
      </c>
      <c r="AW16" s="27" t="s">
        <v>8</v>
      </c>
      <c r="AX16" s="32">
        <f t="shared" si="126"/>
        <v>0.64065956538278068</v>
      </c>
      <c r="AY16" s="30">
        <f t="shared" si="127"/>
        <v>3.0927304418723156E-2</v>
      </c>
      <c r="AZ16" s="48">
        <f t="shared" si="128"/>
        <v>235773.98290460292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0.64065956538278068</v>
      </c>
      <c r="BE16" s="30">
        <f t="shared" si="131"/>
        <v>3.0927304418723156E-2</v>
      </c>
      <c r="BF16" s="48">
        <f t="shared" si="132"/>
        <v>235773.98290460292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0.64065956538278068</v>
      </c>
      <c r="BK16" s="30">
        <f t="shared" si="135"/>
        <v>3.0927304418723156E-2</v>
      </c>
      <c r="BL16" s="48">
        <f t="shared" si="136"/>
        <v>235773.98290460292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0.64065956538278068</v>
      </c>
      <c r="BQ16" s="30">
        <f t="shared" si="139"/>
        <v>3.0927304418723156E-2</v>
      </c>
      <c r="BR16" s="48">
        <f t="shared" si="140"/>
        <v>235773.98290460292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0.64065956538278068</v>
      </c>
      <c r="BW16" s="30">
        <f t="shared" si="143"/>
        <v>3.0927304418723156E-2</v>
      </c>
      <c r="BX16" s="48">
        <f t="shared" si="144"/>
        <v>235773.98290460292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0.64065956538278068</v>
      </c>
      <c r="CC16" s="30">
        <f t="shared" si="147"/>
        <v>3.0927304418723156E-2</v>
      </c>
      <c r="CD16" s="48">
        <f t="shared" si="148"/>
        <v>235773.98290460292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0.64065956538278068</v>
      </c>
      <c r="CI16" s="30">
        <f t="shared" si="151"/>
        <v>3.0927304418723156E-2</v>
      </c>
      <c r="CJ16" s="48">
        <f t="shared" si="152"/>
        <v>235773.98290460292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0.64065956538278068</v>
      </c>
      <c r="CO16" s="30">
        <f t="shared" si="155"/>
        <v>3.0927304418723156E-2</v>
      </c>
      <c r="CP16" s="48">
        <f t="shared" si="156"/>
        <v>235773.98290460292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0.64065956538278068</v>
      </c>
      <c r="CU16" s="30">
        <f t="shared" si="159"/>
        <v>3.0927304418723156E-2</v>
      </c>
      <c r="CV16" s="48">
        <f t="shared" si="160"/>
        <v>235773.98290460292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0.64065956538278068</v>
      </c>
      <c r="DA16" s="30">
        <f t="shared" si="163"/>
        <v>3.0927304418723156E-2</v>
      </c>
      <c r="DB16" s="48">
        <f t="shared" si="164"/>
        <v>235773.98290460292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0.64065956538278068</v>
      </c>
      <c r="DG16" s="30">
        <f t="shared" si="167"/>
        <v>3.0927304418723156E-2</v>
      </c>
      <c r="DH16" s="48">
        <f t="shared" si="168"/>
        <v>235773.98290460292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0.64065956538278068</v>
      </c>
      <c r="DM16" s="30">
        <f t="shared" si="171"/>
        <v>3.0927304418723156E-2</v>
      </c>
      <c r="DN16" s="48">
        <f t="shared" si="172"/>
        <v>235773.98290460292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0.64065956538278068</v>
      </c>
      <c r="DS16" s="30">
        <f t="shared" si="175"/>
        <v>3.0927304418723156E-2</v>
      </c>
      <c r="DT16" s="48">
        <f t="shared" si="176"/>
        <v>235773.98290460292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0.64065956538278068</v>
      </c>
      <c r="DY16" s="30">
        <f t="shared" si="179"/>
        <v>3.0927304418723156E-2</v>
      </c>
      <c r="DZ16" s="31">
        <f t="shared" si="180"/>
        <v>235773.98290460292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0.64065956538278068</v>
      </c>
      <c r="EE16" s="30">
        <f t="shared" si="183"/>
        <v>3.0927304418723156E-2</v>
      </c>
      <c r="EF16" s="31">
        <f t="shared" si="184"/>
        <v>235773.98290460292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0.64065956538278068</v>
      </c>
      <c r="EK16" s="30">
        <f t="shared" si="187"/>
        <v>3.0927304418723156E-2</v>
      </c>
      <c r="EL16" s="31">
        <f t="shared" si="188"/>
        <v>235773.98290460292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0.64065956538278068</v>
      </c>
      <c r="EQ16" s="30">
        <f t="shared" si="191"/>
        <v>3.0927304418723156E-2</v>
      </c>
      <c r="ER16" s="31">
        <f t="shared" si="192"/>
        <v>235773.98290460292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0.64065956538278068</v>
      </c>
      <c r="EW16" s="30">
        <f t="shared" si="195"/>
        <v>3.0927304418723156E-2</v>
      </c>
      <c r="EX16" s="31">
        <f t="shared" si="196"/>
        <v>235773.98290460292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0.64065956538278068</v>
      </c>
      <c r="FC16" s="30">
        <f t="shared" si="199"/>
        <v>3.0927304418723156E-2</v>
      </c>
      <c r="FD16" s="31">
        <f t="shared" si="200"/>
        <v>235773.98290460292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0.64065956538278068</v>
      </c>
      <c r="FI16" s="30">
        <f t="shared" si="203"/>
        <v>3.0927304418723156E-2</v>
      </c>
      <c r="FJ16" s="31">
        <f t="shared" si="204"/>
        <v>235773.98290460292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0.64065956538278068</v>
      </c>
      <c r="FO16" s="30">
        <f t="shared" si="207"/>
        <v>3.0927304418723156E-2</v>
      </c>
      <c r="FP16" s="31">
        <f t="shared" si="208"/>
        <v>235773.98290460292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0.64065956538278068</v>
      </c>
      <c r="FU16" s="30">
        <f t="shared" si="211"/>
        <v>3.0927304418723156E-2</v>
      </c>
      <c r="FV16" s="31">
        <f t="shared" si="212"/>
        <v>235773.98290460292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0.64065956538278068</v>
      </c>
      <c r="GA16" s="30">
        <f t="shared" si="215"/>
        <v>3.0927304418723156E-2</v>
      </c>
      <c r="GB16" s="31">
        <f t="shared" si="216"/>
        <v>235773.98290460292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0.64065956538278068</v>
      </c>
      <c r="GG16" s="30">
        <f t="shared" si="219"/>
        <v>3.0927304418723156E-2</v>
      </c>
      <c r="GH16" s="31">
        <f t="shared" si="220"/>
        <v>235773.98290460292</v>
      </c>
      <c r="GI16" s="115">
        <f t="shared" si="221"/>
        <v>0</v>
      </c>
      <c r="GJ16" s="139">
        <f t="shared" si="227"/>
        <v>1274261.8001133688</v>
      </c>
      <c r="GK16" s="321">
        <f t="shared" si="222"/>
        <v>1322170.2433430604</v>
      </c>
      <c r="GL16" s="196">
        <f t="shared" si="228"/>
        <v>0.64065956538278068</v>
      </c>
      <c r="GM16" s="237">
        <v>1322170.24</v>
      </c>
      <c r="GN16" s="244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32502</v>
      </c>
      <c r="I17" s="29">
        <f>'Расчет КРП'!G15</f>
        <v>30.639215322227589</v>
      </c>
      <c r="J17" s="102" t="s">
        <v>8</v>
      </c>
      <c r="K17" s="106">
        <f t="shared" si="104"/>
        <v>3.1539682720920725E-2</v>
      </c>
      <c r="L17" s="72">
        <f t="shared" si="223"/>
        <v>6562.8004424234969</v>
      </c>
      <c r="M17" s="68">
        <f t="shared" si="224"/>
        <v>3.7908172158947782E-2</v>
      </c>
      <c r="N17" s="27" t="s">
        <v>8</v>
      </c>
      <c r="O17" s="30">
        <f t="shared" si="225"/>
        <v>0.16500998556036686</v>
      </c>
      <c r="P17" s="31">
        <f t="shared" si="105"/>
        <v>203224.70975642628</v>
      </c>
      <c r="Q17" s="75">
        <f t="shared" si="226"/>
        <v>203224.70975642628</v>
      </c>
      <c r="R17" s="134" t="s">
        <v>8</v>
      </c>
      <c r="S17" s="27" t="s">
        <v>8</v>
      </c>
      <c r="T17" s="32">
        <f t="shared" si="106"/>
        <v>0.23511581681985752</v>
      </c>
      <c r="U17" s="30">
        <f t="shared" si="107"/>
        <v>7.5052058030235097E-2</v>
      </c>
      <c r="V17" s="48">
        <f t="shared" si="108"/>
        <v>121168.34996212753</v>
      </c>
      <c r="W17" s="75">
        <f t="shared" si="109"/>
        <v>121168.34996212753</v>
      </c>
      <c r="X17" s="71" t="s">
        <v>8</v>
      </c>
      <c r="Y17" s="27" t="s">
        <v>8</v>
      </c>
      <c r="Z17" s="32">
        <f t="shared" si="110"/>
        <v>0.35269662149720005</v>
      </c>
      <c r="AA17" s="30">
        <f t="shared" si="111"/>
        <v>7.0057996025651603E-2</v>
      </c>
      <c r="AB17" s="48">
        <f t="shared" si="112"/>
        <v>144474.52923268775</v>
      </c>
      <c r="AC17" s="75">
        <f t="shared" si="113"/>
        <v>144474.52923268775</v>
      </c>
      <c r="AD17" s="71" t="s">
        <v>8</v>
      </c>
      <c r="AE17" s="27" t="s">
        <v>8</v>
      </c>
      <c r="AF17" s="32">
        <f t="shared" si="114"/>
        <v>0.4928935574781661</v>
      </c>
      <c r="AG17" s="30">
        <f t="shared" si="115"/>
        <v>3.6122173538828406E-2</v>
      </c>
      <c r="AH17" s="48">
        <f t="shared" si="116"/>
        <v>89215.857288419589</v>
      </c>
      <c r="AI17" s="75">
        <f t="shared" si="117"/>
        <v>89215.857288419589</v>
      </c>
      <c r="AJ17" s="71" t="s">
        <v>8</v>
      </c>
      <c r="AK17" s="27" t="s">
        <v>8</v>
      </c>
      <c r="AL17" s="32">
        <f t="shared" si="118"/>
        <v>0.57946791698071054</v>
      </c>
      <c r="AM17" s="30">
        <f t="shared" si="119"/>
        <v>4.361552330435936E-2</v>
      </c>
      <c r="AN17" s="48">
        <f t="shared" si="120"/>
        <v>131435.19681004764</v>
      </c>
      <c r="AO17" s="75">
        <f t="shared" si="121"/>
        <v>69406.848975500659</v>
      </c>
      <c r="AP17" s="71" t="s">
        <v>8</v>
      </c>
      <c r="AQ17" s="27" t="s">
        <v>8</v>
      </c>
      <c r="AR17" s="32">
        <f t="shared" si="122"/>
        <v>0.64681977210796893</v>
      </c>
      <c r="AS17" s="30">
        <f t="shared" si="123"/>
        <v>2.4767097693534912E-2</v>
      </c>
      <c r="AT17" s="48">
        <f t="shared" si="124"/>
        <v>80857.714711663008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0.64681977210796893</v>
      </c>
      <c r="AY17" s="30">
        <f t="shared" si="127"/>
        <v>2.4767097693534912E-2</v>
      </c>
      <c r="AZ17" s="48">
        <f t="shared" si="128"/>
        <v>80857.714711663008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0.64681977210796893</v>
      </c>
      <c r="BE17" s="30">
        <f t="shared" si="131"/>
        <v>2.4767097693534912E-2</v>
      </c>
      <c r="BF17" s="48">
        <f t="shared" si="132"/>
        <v>80857.714711663008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0.64681977210796893</v>
      </c>
      <c r="BK17" s="30">
        <f t="shared" si="135"/>
        <v>2.4767097693534912E-2</v>
      </c>
      <c r="BL17" s="48">
        <f t="shared" si="136"/>
        <v>80857.714711663008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0.64681977210796893</v>
      </c>
      <c r="BQ17" s="30">
        <f t="shared" si="139"/>
        <v>2.4767097693534912E-2</v>
      </c>
      <c r="BR17" s="48">
        <f t="shared" si="140"/>
        <v>80857.714711663008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0.64681977210796893</v>
      </c>
      <c r="BW17" s="30">
        <f t="shared" si="143"/>
        <v>2.4767097693534912E-2</v>
      </c>
      <c r="BX17" s="48">
        <f t="shared" si="144"/>
        <v>80857.714711663008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0.64681977210796893</v>
      </c>
      <c r="CC17" s="30">
        <f t="shared" si="147"/>
        <v>2.4767097693534912E-2</v>
      </c>
      <c r="CD17" s="48">
        <f t="shared" si="148"/>
        <v>80857.714711663008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0.64681977210796893</v>
      </c>
      <c r="CI17" s="30">
        <f t="shared" si="151"/>
        <v>2.4767097693534912E-2</v>
      </c>
      <c r="CJ17" s="48">
        <f t="shared" si="152"/>
        <v>80857.714711663008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0.64681977210796893</v>
      </c>
      <c r="CO17" s="30">
        <f t="shared" si="155"/>
        <v>2.4767097693534912E-2</v>
      </c>
      <c r="CP17" s="48">
        <f t="shared" si="156"/>
        <v>80857.714711663008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0.64681977210796893</v>
      </c>
      <c r="CU17" s="30">
        <f t="shared" si="159"/>
        <v>2.4767097693534912E-2</v>
      </c>
      <c r="CV17" s="48">
        <f t="shared" si="160"/>
        <v>80857.714711663008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0.64681977210796893</v>
      </c>
      <c r="DA17" s="30">
        <f t="shared" si="163"/>
        <v>2.4767097693534912E-2</v>
      </c>
      <c r="DB17" s="48">
        <f t="shared" si="164"/>
        <v>80857.714711663008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0.64681977210796893</v>
      </c>
      <c r="DG17" s="30">
        <f t="shared" si="167"/>
        <v>2.4767097693534912E-2</v>
      </c>
      <c r="DH17" s="48">
        <f t="shared" si="168"/>
        <v>80857.714711663008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0.64681977210796893</v>
      </c>
      <c r="DM17" s="30">
        <f t="shared" si="171"/>
        <v>2.4767097693534912E-2</v>
      </c>
      <c r="DN17" s="48">
        <f t="shared" si="172"/>
        <v>80857.714711663008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0.64681977210796893</v>
      </c>
      <c r="DS17" s="30">
        <f t="shared" si="175"/>
        <v>2.4767097693534912E-2</v>
      </c>
      <c r="DT17" s="48">
        <f t="shared" si="176"/>
        <v>80857.714711663008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0.64681977210796893</v>
      </c>
      <c r="DY17" s="30">
        <f t="shared" si="179"/>
        <v>2.4767097693534912E-2</v>
      </c>
      <c r="DZ17" s="31">
        <f t="shared" si="180"/>
        <v>80857.714711663008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0.64681977210796893</v>
      </c>
      <c r="EE17" s="30">
        <f t="shared" si="183"/>
        <v>2.4767097693534912E-2</v>
      </c>
      <c r="EF17" s="31">
        <f t="shared" si="184"/>
        <v>80857.714711663008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0.64681977210796893</v>
      </c>
      <c r="EK17" s="30">
        <f t="shared" si="187"/>
        <v>2.4767097693534912E-2</v>
      </c>
      <c r="EL17" s="31">
        <f t="shared" si="188"/>
        <v>80857.714711663008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0.64681977210796893</v>
      </c>
      <c r="EQ17" s="30">
        <f t="shared" si="191"/>
        <v>2.4767097693534912E-2</v>
      </c>
      <c r="ER17" s="31">
        <f t="shared" si="192"/>
        <v>80857.714711663008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0.64681977210796893</v>
      </c>
      <c r="EW17" s="30">
        <f t="shared" si="195"/>
        <v>2.4767097693534912E-2</v>
      </c>
      <c r="EX17" s="31">
        <f t="shared" si="196"/>
        <v>80857.714711663008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0.64681977210796893</v>
      </c>
      <c r="FC17" s="30">
        <f t="shared" si="199"/>
        <v>2.4767097693534912E-2</v>
      </c>
      <c r="FD17" s="31">
        <f t="shared" si="200"/>
        <v>80857.714711663008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0.64681977210796893</v>
      </c>
      <c r="FI17" s="30">
        <f t="shared" si="203"/>
        <v>2.4767097693534912E-2</v>
      </c>
      <c r="FJ17" s="31">
        <f t="shared" si="204"/>
        <v>80857.714711663008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0.64681977210796893</v>
      </c>
      <c r="FO17" s="30">
        <f t="shared" si="207"/>
        <v>2.4767097693534912E-2</v>
      </c>
      <c r="FP17" s="31">
        <f t="shared" si="208"/>
        <v>80857.714711663008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0.64681977210796893</v>
      </c>
      <c r="FU17" s="30">
        <f t="shared" si="211"/>
        <v>2.4767097693534912E-2</v>
      </c>
      <c r="FV17" s="31">
        <f t="shared" si="212"/>
        <v>80857.714711663008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0.64681977210796893</v>
      </c>
      <c r="GA17" s="30">
        <f t="shared" si="215"/>
        <v>2.4767097693534912E-2</v>
      </c>
      <c r="GB17" s="31">
        <f t="shared" si="216"/>
        <v>80857.714711663008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0.64681977210796893</v>
      </c>
      <c r="GG17" s="30">
        <f t="shared" si="219"/>
        <v>2.4767097693534912E-2</v>
      </c>
      <c r="GH17" s="31">
        <f t="shared" si="220"/>
        <v>80857.714711663008</v>
      </c>
      <c r="GI17" s="115">
        <f t="shared" si="221"/>
        <v>0</v>
      </c>
      <c r="GJ17" s="139">
        <f t="shared" si="227"/>
        <v>627490.29521516187</v>
      </c>
      <c r="GK17" s="321">
        <f t="shared" si="222"/>
        <v>634053.09565758542</v>
      </c>
      <c r="GL17" s="196">
        <f t="shared" si="228"/>
        <v>0.64681977210796893</v>
      </c>
      <c r="GM17" s="237">
        <v>634053.1</v>
      </c>
      <c r="GN17" s="244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5083223</v>
      </c>
      <c r="I18" s="29">
        <f>'Расчет КРП'!G16</f>
        <v>2.8351129400445227</v>
      </c>
      <c r="J18" s="102" t="s">
        <v>8</v>
      </c>
      <c r="K18" s="106">
        <f t="shared" si="104"/>
        <v>0.41388320949533275</v>
      </c>
      <c r="L18" s="72">
        <f t="shared" si="223"/>
        <v>845288.69698414649</v>
      </c>
      <c r="M18" s="68">
        <f t="shared" si="224"/>
        <v>0.48270781129972468</v>
      </c>
      <c r="N18" s="27" t="s">
        <v>8</v>
      </c>
      <c r="O18" s="30">
        <f t="shared" si="225"/>
        <v>-0.27978965358041002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0.48270781129972468</v>
      </c>
      <c r="U18" s="30">
        <f t="shared" si="107"/>
        <v>-0.17253993644963206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0.48270781129972468</v>
      </c>
      <c r="AA18" s="30">
        <f t="shared" si="111"/>
        <v>-5.9953193776873026E-2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0.48270781129972468</v>
      </c>
      <c r="AG18" s="30">
        <f t="shared" si="115"/>
        <v>4.630791971726983E-2</v>
      </c>
      <c r="AH18" s="48">
        <f t="shared" si="116"/>
        <v>1363113.561277708</v>
      </c>
      <c r="AI18" s="75">
        <f t="shared" si="117"/>
        <v>1363113.561277708</v>
      </c>
      <c r="AJ18" s="71" t="s">
        <v>8</v>
      </c>
      <c r="AK18" s="27" t="s">
        <v>8</v>
      </c>
      <c r="AL18" s="32">
        <f t="shared" si="118"/>
        <v>0.59369444628469992</v>
      </c>
      <c r="AM18" s="30">
        <f t="shared" si="119"/>
        <v>2.9388994000369983E-2</v>
      </c>
      <c r="AN18" s="48">
        <f t="shared" si="120"/>
        <v>1055513.7640705593</v>
      </c>
      <c r="AO18" s="75">
        <f t="shared" si="121"/>
        <v>557384.06600694614</v>
      </c>
      <c r="AP18" s="71" t="s">
        <v>8</v>
      </c>
      <c r="AQ18" s="27" t="s">
        <v>8</v>
      </c>
      <c r="AR18" s="32">
        <f t="shared" si="122"/>
        <v>0.63907744564563951</v>
      </c>
      <c r="AS18" s="30">
        <f t="shared" si="123"/>
        <v>3.250942415586433E-2</v>
      </c>
      <c r="AT18" s="48">
        <f t="shared" si="124"/>
        <v>1264923.3536209268</v>
      </c>
      <c r="AU18" s="75">
        <f t="shared" si="125"/>
        <v>0</v>
      </c>
      <c r="AV18" s="71" t="s">
        <v>8</v>
      </c>
      <c r="AW18" s="27" t="s">
        <v>8</v>
      </c>
      <c r="AX18" s="32">
        <f t="shared" si="126"/>
        <v>0.63907744564563951</v>
      </c>
      <c r="AY18" s="30">
        <f t="shared" si="127"/>
        <v>3.250942415586433E-2</v>
      </c>
      <c r="AZ18" s="48">
        <f t="shared" si="128"/>
        <v>1264923.3536209268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0.63907744564563951</v>
      </c>
      <c r="BE18" s="30">
        <f t="shared" si="131"/>
        <v>3.250942415586433E-2</v>
      </c>
      <c r="BF18" s="48">
        <f t="shared" si="132"/>
        <v>1264923.3536209268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0.63907744564563951</v>
      </c>
      <c r="BK18" s="30">
        <f t="shared" si="135"/>
        <v>3.250942415586433E-2</v>
      </c>
      <c r="BL18" s="48">
        <f t="shared" si="136"/>
        <v>1264923.3536209268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0.63907744564563951</v>
      </c>
      <c r="BQ18" s="30">
        <f t="shared" si="139"/>
        <v>3.250942415586433E-2</v>
      </c>
      <c r="BR18" s="48">
        <f t="shared" si="140"/>
        <v>1264923.3536209268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0.63907744564563951</v>
      </c>
      <c r="BW18" s="30">
        <f t="shared" si="143"/>
        <v>3.250942415586433E-2</v>
      </c>
      <c r="BX18" s="48">
        <f t="shared" si="144"/>
        <v>1264923.3536209268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0.63907744564563951</v>
      </c>
      <c r="CC18" s="30">
        <f t="shared" si="147"/>
        <v>3.250942415586433E-2</v>
      </c>
      <c r="CD18" s="48">
        <f t="shared" si="148"/>
        <v>1264923.3536209268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0.63907744564563951</v>
      </c>
      <c r="CI18" s="30">
        <f t="shared" si="151"/>
        <v>3.250942415586433E-2</v>
      </c>
      <c r="CJ18" s="48">
        <f t="shared" si="152"/>
        <v>1264923.3536209268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0.63907744564563951</v>
      </c>
      <c r="CO18" s="30">
        <f t="shared" si="155"/>
        <v>3.250942415586433E-2</v>
      </c>
      <c r="CP18" s="48">
        <f t="shared" si="156"/>
        <v>1264923.3536209268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0.63907744564563951</v>
      </c>
      <c r="CU18" s="30">
        <f t="shared" si="159"/>
        <v>3.250942415586433E-2</v>
      </c>
      <c r="CV18" s="48">
        <f t="shared" si="160"/>
        <v>1264923.3536209268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0.63907744564563951</v>
      </c>
      <c r="DA18" s="30">
        <f t="shared" si="163"/>
        <v>3.250942415586433E-2</v>
      </c>
      <c r="DB18" s="48">
        <f t="shared" si="164"/>
        <v>1264923.3536209268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0.63907744564563951</v>
      </c>
      <c r="DG18" s="30">
        <f t="shared" si="167"/>
        <v>3.250942415586433E-2</v>
      </c>
      <c r="DH18" s="48">
        <f t="shared" si="168"/>
        <v>1264923.3536209268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0.63907744564563951</v>
      </c>
      <c r="DM18" s="30">
        <f t="shared" si="171"/>
        <v>3.250942415586433E-2</v>
      </c>
      <c r="DN18" s="48">
        <f t="shared" si="172"/>
        <v>1264923.3536209268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0.63907744564563951</v>
      </c>
      <c r="DS18" s="30">
        <f t="shared" si="175"/>
        <v>3.250942415586433E-2</v>
      </c>
      <c r="DT18" s="48">
        <f t="shared" si="176"/>
        <v>1264923.3536209268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0.63907744564563951</v>
      </c>
      <c r="DY18" s="30">
        <f t="shared" si="179"/>
        <v>3.250942415586433E-2</v>
      </c>
      <c r="DZ18" s="31">
        <f t="shared" si="180"/>
        <v>1264923.3536209268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0.63907744564563951</v>
      </c>
      <c r="EE18" s="30">
        <f t="shared" si="183"/>
        <v>3.250942415586433E-2</v>
      </c>
      <c r="EF18" s="31">
        <f t="shared" si="184"/>
        <v>1264923.3536209268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0.63907744564563951</v>
      </c>
      <c r="EK18" s="30">
        <f t="shared" si="187"/>
        <v>3.250942415586433E-2</v>
      </c>
      <c r="EL18" s="31">
        <f t="shared" si="188"/>
        <v>1264923.3536209268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0.63907744564563951</v>
      </c>
      <c r="EQ18" s="30">
        <f t="shared" si="191"/>
        <v>3.250942415586433E-2</v>
      </c>
      <c r="ER18" s="31">
        <f t="shared" si="192"/>
        <v>1264923.3536209268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0.63907744564563951</v>
      </c>
      <c r="EW18" s="30">
        <f t="shared" si="195"/>
        <v>3.250942415586433E-2</v>
      </c>
      <c r="EX18" s="31">
        <f t="shared" si="196"/>
        <v>1264923.3536209268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0.63907744564563951</v>
      </c>
      <c r="FC18" s="30">
        <f t="shared" si="199"/>
        <v>3.250942415586433E-2</v>
      </c>
      <c r="FD18" s="31">
        <f t="shared" si="200"/>
        <v>1264923.3536209268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0.63907744564563951</v>
      </c>
      <c r="FI18" s="30">
        <f t="shared" si="203"/>
        <v>3.250942415586433E-2</v>
      </c>
      <c r="FJ18" s="31">
        <f t="shared" si="204"/>
        <v>1264923.3536209268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0.63907744564563951</v>
      </c>
      <c r="FO18" s="30">
        <f t="shared" si="207"/>
        <v>3.250942415586433E-2</v>
      </c>
      <c r="FP18" s="31">
        <f t="shared" si="208"/>
        <v>1264923.3536209268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0.63907744564563951</v>
      </c>
      <c r="FU18" s="30">
        <f t="shared" si="211"/>
        <v>3.250942415586433E-2</v>
      </c>
      <c r="FV18" s="31">
        <f t="shared" si="212"/>
        <v>1264923.3536209268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0.63907744564563951</v>
      </c>
      <c r="GA18" s="30">
        <f t="shared" si="215"/>
        <v>3.250942415586433E-2</v>
      </c>
      <c r="GB18" s="31">
        <f t="shared" si="216"/>
        <v>1264923.3536209268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0.63907744564563951</v>
      </c>
      <c r="GG18" s="30">
        <f t="shared" si="219"/>
        <v>3.250942415586433E-2</v>
      </c>
      <c r="GH18" s="31">
        <f t="shared" si="220"/>
        <v>1264923.3536209268</v>
      </c>
      <c r="GI18" s="115">
        <f t="shared" si="221"/>
        <v>0</v>
      </c>
      <c r="GJ18" s="139">
        <f t="shared" si="227"/>
        <v>1920497.6272846542</v>
      </c>
      <c r="GK18" s="321">
        <f t="shared" si="222"/>
        <v>2765786.3242688007</v>
      </c>
      <c r="GL18" s="196">
        <f t="shared" si="228"/>
        <v>0.6390774456456394</v>
      </c>
      <c r="GM18" s="237">
        <v>2765786.32</v>
      </c>
      <c r="GN18" s="244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162852</v>
      </c>
      <c r="I19" s="29">
        <f>'Расчет КРП'!G17</f>
        <v>9.978831738486333</v>
      </c>
      <c r="J19" s="102" t="s">
        <v>8</v>
      </c>
      <c r="K19" s="106">
        <f t="shared" si="104"/>
        <v>0.10004526321168017</v>
      </c>
      <c r="L19" s="72">
        <f t="shared" si="223"/>
        <v>31829.582145753961</v>
      </c>
      <c r="M19" s="68">
        <f t="shared" si="224"/>
        <v>0.11959920742906618</v>
      </c>
      <c r="N19" s="27" t="s">
        <v>8</v>
      </c>
      <c r="O19" s="30">
        <f t="shared" si="225"/>
        <v>8.3318950290248467E-2</v>
      </c>
      <c r="P19" s="31">
        <f t="shared" si="105"/>
        <v>162089.12395047906</v>
      </c>
      <c r="Q19" s="75">
        <f t="shared" si="226"/>
        <v>162089.12395047906</v>
      </c>
      <c r="R19" s="134" t="s">
        <v>8</v>
      </c>
      <c r="S19" s="27" t="s">
        <v>8</v>
      </c>
      <c r="T19" s="32">
        <f t="shared" si="106"/>
        <v>0.21917581115131907</v>
      </c>
      <c r="U19" s="30">
        <f t="shared" si="107"/>
        <v>9.0992063698773551E-2</v>
      </c>
      <c r="V19" s="48">
        <f t="shared" si="108"/>
        <v>232045.90177752002</v>
      </c>
      <c r="W19" s="75">
        <f t="shared" si="109"/>
        <v>232045.90177752002</v>
      </c>
      <c r="X19" s="71" t="s">
        <v>8</v>
      </c>
      <c r="Y19" s="27" t="s">
        <v>8</v>
      </c>
      <c r="Z19" s="32">
        <f t="shared" si="110"/>
        <v>0.36172913146991303</v>
      </c>
      <c r="AA19" s="30">
        <f t="shared" si="111"/>
        <v>6.1025486052938616E-2</v>
      </c>
      <c r="AB19" s="48">
        <f t="shared" si="112"/>
        <v>198787.29511597837</v>
      </c>
      <c r="AC19" s="75">
        <f t="shared" si="113"/>
        <v>198787.29511597837</v>
      </c>
      <c r="AD19" s="71" t="s">
        <v>8</v>
      </c>
      <c r="AE19" s="27" t="s">
        <v>8</v>
      </c>
      <c r="AF19" s="32">
        <f t="shared" si="114"/>
        <v>0.48385061148253794</v>
      </c>
      <c r="AG19" s="30">
        <f t="shared" si="115"/>
        <v>4.5165119534456566E-2</v>
      </c>
      <c r="AH19" s="48">
        <f t="shared" si="116"/>
        <v>176203.74794628198</v>
      </c>
      <c r="AI19" s="75">
        <f t="shared" si="117"/>
        <v>176203.74794628198</v>
      </c>
      <c r="AJ19" s="71" t="s">
        <v>8</v>
      </c>
      <c r="AK19" s="27" t="s">
        <v>8</v>
      </c>
      <c r="AL19" s="32">
        <f t="shared" si="118"/>
        <v>0.59209828631717509</v>
      </c>
      <c r="AM19" s="30">
        <f t="shared" si="119"/>
        <v>3.0985153967894807E-2</v>
      </c>
      <c r="AN19" s="48">
        <f t="shared" si="120"/>
        <v>147491.85926810728</v>
      </c>
      <c r="AO19" s="75">
        <f t="shared" si="121"/>
        <v>77885.874178222788</v>
      </c>
      <c r="AP19" s="71" t="s">
        <v>8</v>
      </c>
      <c r="AQ19" s="27" t="s">
        <v>8</v>
      </c>
      <c r="AR19" s="32">
        <f t="shared" si="122"/>
        <v>0.63994610386090878</v>
      </c>
      <c r="AS19" s="30">
        <f t="shared" si="123"/>
        <v>3.1640765940595061E-2</v>
      </c>
      <c r="AT19" s="48">
        <f t="shared" si="124"/>
        <v>163168.80507718009</v>
      </c>
      <c r="AU19" s="75">
        <f t="shared" si="125"/>
        <v>0</v>
      </c>
      <c r="AV19" s="71" t="s">
        <v>8</v>
      </c>
      <c r="AW19" s="27" t="s">
        <v>8</v>
      </c>
      <c r="AX19" s="32">
        <f t="shared" si="126"/>
        <v>0.63994610386090878</v>
      </c>
      <c r="AY19" s="30">
        <f t="shared" si="127"/>
        <v>3.1640765940595061E-2</v>
      </c>
      <c r="AZ19" s="48">
        <f t="shared" si="128"/>
        <v>163168.80507718009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0.63994610386090878</v>
      </c>
      <c r="BE19" s="30">
        <f t="shared" si="131"/>
        <v>3.1640765940595061E-2</v>
      </c>
      <c r="BF19" s="48">
        <f t="shared" si="132"/>
        <v>163168.80507718009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0.63994610386090878</v>
      </c>
      <c r="BK19" s="30">
        <f t="shared" si="135"/>
        <v>3.1640765940595061E-2</v>
      </c>
      <c r="BL19" s="48">
        <f t="shared" si="136"/>
        <v>163168.80507718009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0.63994610386090878</v>
      </c>
      <c r="BQ19" s="30">
        <f t="shared" si="139"/>
        <v>3.1640765940595061E-2</v>
      </c>
      <c r="BR19" s="48">
        <f t="shared" si="140"/>
        <v>163168.80507718009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0.63994610386090878</v>
      </c>
      <c r="BW19" s="30">
        <f t="shared" si="143"/>
        <v>3.1640765940595061E-2</v>
      </c>
      <c r="BX19" s="48">
        <f t="shared" si="144"/>
        <v>163168.80507718009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0.63994610386090878</v>
      </c>
      <c r="CC19" s="30">
        <f t="shared" si="147"/>
        <v>3.1640765940595061E-2</v>
      </c>
      <c r="CD19" s="48">
        <f t="shared" si="148"/>
        <v>163168.80507718009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0.63994610386090878</v>
      </c>
      <c r="CI19" s="30">
        <f t="shared" si="151"/>
        <v>3.1640765940595061E-2</v>
      </c>
      <c r="CJ19" s="48">
        <f t="shared" si="152"/>
        <v>163168.80507718009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0.63994610386090878</v>
      </c>
      <c r="CO19" s="30">
        <f t="shared" si="155"/>
        <v>3.1640765940595061E-2</v>
      </c>
      <c r="CP19" s="48">
        <f t="shared" si="156"/>
        <v>163168.80507718009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0.63994610386090878</v>
      </c>
      <c r="CU19" s="30">
        <f t="shared" si="159"/>
        <v>3.1640765940595061E-2</v>
      </c>
      <c r="CV19" s="48">
        <f t="shared" si="160"/>
        <v>163168.80507718009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0.63994610386090878</v>
      </c>
      <c r="DA19" s="30">
        <f t="shared" si="163"/>
        <v>3.1640765940595061E-2</v>
      </c>
      <c r="DB19" s="48">
        <f t="shared" si="164"/>
        <v>163168.80507718009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0.63994610386090878</v>
      </c>
      <c r="DG19" s="30">
        <f t="shared" si="167"/>
        <v>3.1640765940595061E-2</v>
      </c>
      <c r="DH19" s="48">
        <f t="shared" si="168"/>
        <v>163168.80507718009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0.63994610386090878</v>
      </c>
      <c r="DM19" s="30">
        <f t="shared" si="171"/>
        <v>3.1640765940595061E-2</v>
      </c>
      <c r="DN19" s="48">
        <f t="shared" si="172"/>
        <v>163168.80507718009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0.63994610386090878</v>
      </c>
      <c r="DS19" s="30">
        <f t="shared" si="175"/>
        <v>3.1640765940595061E-2</v>
      </c>
      <c r="DT19" s="48">
        <f t="shared" si="176"/>
        <v>163168.80507718009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0.63994610386090878</v>
      </c>
      <c r="DY19" s="30">
        <f t="shared" si="179"/>
        <v>3.1640765940595061E-2</v>
      </c>
      <c r="DZ19" s="31">
        <f t="shared" si="180"/>
        <v>163168.80507718009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0.63994610386090878</v>
      </c>
      <c r="EE19" s="30">
        <f t="shared" si="183"/>
        <v>3.1640765940595061E-2</v>
      </c>
      <c r="EF19" s="31">
        <f t="shared" si="184"/>
        <v>163168.80507718009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0.63994610386090878</v>
      </c>
      <c r="EK19" s="30">
        <f t="shared" si="187"/>
        <v>3.1640765940595061E-2</v>
      </c>
      <c r="EL19" s="31">
        <f t="shared" si="188"/>
        <v>163168.80507718009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0.63994610386090878</v>
      </c>
      <c r="EQ19" s="30">
        <f t="shared" si="191"/>
        <v>3.1640765940595061E-2</v>
      </c>
      <c r="ER19" s="31">
        <f t="shared" si="192"/>
        <v>163168.80507718009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0.63994610386090878</v>
      </c>
      <c r="EW19" s="30">
        <f t="shared" si="195"/>
        <v>3.1640765940595061E-2</v>
      </c>
      <c r="EX19" s="31">
        <f t="shared" si="196"/>
        <v>163168.80507718009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0.63994610386090878</v>
      </c>
      <c r="FC19" s="30">
        <f t="shared" si="199"/>
        <v>3.1640765940595061E-2</v>
      </c>
      <c r="FD19" s="31">
        <f t="shared" si="200"/>
        <v>163168.80507718009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0.63994610386090878</v>
      </c>
      <c r="FI19" s="30">
        <f t="shared" si="203"/>
        <v>3.1640765940595061E-2</v>
      </c>
      <c r="FJ19" s="31">
        <f t="shared" si="204"/>
        <v>163168.80507718009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0.63994610386090878</v>
      </c>
      <c r="FO19" s="30">
        <f t="shared" si="207"/>
        <v>3.1640765940595061E-2</v>
      </c>
      <c r="FP19" s="31">
        <f t="shared" si="208"/>
        <v>163168.80507718009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0.63994610386090878</v>
      </c>
      <c r="FU19" s="30">
        <f t="shared" si="211"/>
        <v>3.1640765940595061E-2</v>
      </c>
      <c r="FV19" s="31">
        <f t="shared" si="212"/>
        <v>163168.80507718009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0.63994610386090878</v>
      </c>
      <c r="GA19" s="30">
        <f t="shared" si="215"/>
        <v>3.1640765940595061E-2</v>
      </c>
      <c r="GB19" s="31">
        <f t="shared" si="216"/>
        <v>163168.80507718009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0.63994610386090878</v>
      </c>
      <c r="GG19" s="30">
        <f t="shared" si="219"/>
        <v>3.1640765940595061E-2</v>
      </c>
      <c r="GH19" s="31">
        <f t="shared" si="220"/>
        <v>163168.80507718009</v>
      </c>
      <c r="GI19" s="115">
        <f t="shared" si="221"/>
        <v>0</v>
      </c>
      <c r="GJ19" s="139">
        <f t="shared" si="227"/>
        <v>847011.94296848215</v>
      </c>
      <c r="GK19" s="321">
        <f>L19+GJ19-0.01</f>
        <v>878841.51511423616</v>
      </c>
      <c r="GL19" s="196">
        <f t="shared" si="228"/>
        <v>0.63994609771758448</v>
      </c>
      <c r="GM19" s="237">
        <v>878841.53</v>
      </c>
      <c r="GN19" s="244"/>
    </row>
    <row r="20" spans="1:197" s="26" customFormat="1" ht="20.25" customHeight="1" thickBot="1" x14ac:dyDescent="0.3">
      <c r="A20" s="90" t="s">
        <v>6</v>
      </c>
      <c r="B20" s="112">
        <v>14833752</v>
      </c>
      <c r="C20" s="108">
        <v>9</v>
      </c>
      <c r="D20" s="76">
        <f>B20*C20/100</f>
        <v>1335037.68</v>
      </c>
      <c r="E20" s="97">
        <v>91</v>
      </c>
      <c r="F20" s="76">
        <f>B20-D20</f>
        <v>13498714.32</v>
      </c>
      <c r="G20" s="96">
        <f>SUM(G9:G19)</f>
        <v>8137</v>
      </c>
      <c r="H20" s="96">
        <f>SUM(H9:H19)</f>
        <v>6841943</v>
      </c>
      <c r="I20" s="40" t="s">
        <v>8</v>
      </c>
      <c r="J20" s="144">
        <f>H20/G20</f>
        <v>840.84343124001475</v>
      </c>
      <c r="K20" s="107" t="s">
        <v>8</v>
      </c>
      <c r="L20" s="73">
        <f>SUM(L9:L19)</f>
        <v>1335037.68</v>
      </c>
      <c r="M20" s="69" t="s">
        <v>8</v>
      </c>
      <c r="N20" s="41">
        <f>(SUMIF(M9:M19,"&lt;1")+1)/(COUNTIFS(M9:M19,"&lt;1")+1)</f>
        <v>0.20291815771931465</v>
      </c>
      <c r="O20" s="42" t="s">
        <v>8</v>
      </c>
      <c r="P20" s="39">
        <f>SUM(P9:P19)</f>
        <v>2541994.7166829561</v>
      </c>
      <c r="Q20" s="39">
        <f>SUM(Q9:Q19)</f>
        <v>2541994.7166829561</v>
      </c>
      <c r="R20" s="78">
        <f>F20-Q20</f>
        <v>10956719.603317045</v>
      </c>
      <c r="S20" s="41">
        <f>(SUMIF(T9:T19,"&lt;1")+1)/(COUNTIFS(T9:T19,"&lt;1")+1)</f>
        <v>0.31016787485009262</v>
      </c>
      <c r="T20" s="42" t="s">
        <v>8</v>
      </c>
      <c r="U20" s="42" t="s">
        <v>8</v>
      </c>
      <c r="V20" s="39">
        <f>SUM(V9:V19)</f>
        <v>2972815.6788882343</v>
      </c>
      <c r="W20" s="39">
        <f>SUM(W9:W19)</f>
        <v>2972815.6788882343</v>
      </c>
      <c r="X20" s="78">
        <f>R20-W20</f>
        <v>7983903.9244288104</v>
      </c>
      <c r="Y20" s="41">
        <f>(SUMIF(Z9:Z19,"&lt;1")+1)/(COUNTIFS(Z9:Z19,"&lt;1")+1)</f>
        <v>0.42275461752285165</v>
      </c>
      <c r="Z20" s="42" t="s">
        <v>8</v>
      </c>
      <c r="AA20" s="42" t="s">
        <v>8</v>
      </c>
      <c r="AB20" s="39">
        <f>SUM(AB9:AB19)</f>
        <v>2706359.2832714943</v>
      </c>
      <c r="AC20" s="39">
        <f>SUM(AC9:AC19)</f>
        <v>2706359.2832714943</v>
      </c>
      <c r="AD20" s="78">
        <f>X20-AC20</f>
        <v>5277544.641157316</v>
      </c>
      <c r="AE20" s="41">
        <f>(SUMIF(AF9:AF19,"&lt;1")+1)/(COUNTIFS(AF9:AF19,"&lt;1")+1)</f>
        <v>0.52901573101699451</v>
      </c>
      <c r="AF20" s="42" t="s">
        <v>8</v>
      </c>
      <c r="AG20" s="42" t="s">
        <v>8</v>
      </c>
      <c r="AH20" s="39">
        <f>SUM(AH9:AH19)</f>
        <v>3609554.7694344139</v>
      </c>
      <c r="AI20" s="39">
        <f>SUM(AI9:AI19)</f>
        <v>3609554.7694344139</v>
      </c>
      <c r="AJ20" s="78">
        <f>AD20-AI20</f>
        <v>1667989.8717229022</v>
      </c>
      <c r="AK20" s="41">
        <f>(SUMIF(AL9:AL19,"&lt;1")+1)/(COUNTIFS(AL9:AL19,"&lt;1")+1)</f>
        <v>0.6230834402850699</v>
      </c>
      <c r="AL20" s="42" t="s">
        <v>8</v>
      </c>
      <c r="AM20" s="42" t="s">
        <v>8</v>
      </c>
      <c r="AN20" s="39">
        <f>SUM(AN9:AN19)</f>
        <v>3158659.1280703554</v>
      </c>
      <c r="AO20" s="39">
        <f>SUM(AO9:AO19)</f>
        <v>1667989.8717229024</v>
      </c>
      <c r="AP20" s="78">
        <f>AJ20-AO20</f>
        <v>0</v>
      </c>
      <c r="AQ20" s="41">
        <f>(SUMIF(AR9:AR19,"&lt;1")+1)/(COUNTIFS(AR9:AR19,"&lt;1")+1)</f>
        <v>0.67158686980150384</v>
      </c>
      <c r="AR20" s="42" t="s">
        <v>8</v>
      </c>
      <c r="AS20" s="42" t="s">
        <v>8</v>
      </c>
      <c r="AT20" s="39">
        <f>SUM(AT9:AT19)</f>
        <v>3338279.9148640055</v>
      </c>
      <c r="AU20" s="76">
        <f>SUM(AU9:AU19)</f>
        <v>0</v>
      </c>
      <c r="AV20" s="78">
        <f>AP20-AU20</f>
        <v>0</v>
      </c>
      <c r="AW20" s="41">
        <f>(SUMIF(AX9:AX19,"&lt;1")+1)/(COUNTIFS(AX9:AX19,"&lt;1")+1)</f>
        <v>0.67158686980150384</v>
      </c>
      <c r="AX20" s="42" t="s">
        <v>8</v>
      </c>
      <c r="AY20" s="42" t="s">
        <v>8</v>
      </c>
      <c r="AZ20" s="39">
        <f>SUM(AZ9:AZ19)</f>
        <v>3338279.9148640055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0.67158686980150384</v>
      </c>
      <c r="BD20" s="42" t="s">
        <v>8</v>
      </c>
      <c r="BE20" s="42" t="s">
        <v>8</v>
      </c>
      <c r="BF20" s="39">
        <f>SUM(BF9:BF19)</f>
        <v>3338279.9148640055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0.67158686980150384</v>
      </c>
      <c r="BJ20" s="42" t="s">
        <v>8</v>
      </c>
      <c r="BK20" s="42" t="s">
        <v>8</v>
      </c>
      <c r="BL20" s="39">
        <f>SUM(BL9:BL19)</f>
        <v>3338279.9148640055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0.67158686980150384</v>
      </c>
      <c r="BP20" s="42" t="s">
        <v>8</v>
      </c>
      <c r="BQ20" s="42" t="s">
        <v>8</v>
      </c>
      <c r="BR20" s="39">
        <f>SUM(BR9:BR19)</f>
        <v>3338279.9148640055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0.67158686980150384</v>
      </c>
      <c r="BV20" s="42" t="s">
        <v>8</v>
      </c>
      <c r="BW20" s="42" t="s">
        <v>8</v>
      </c>
      <c r="BX20" s="39">
        <f>SUM(BX9:BX19)</f>
        <v>3338279.9148640055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0.67158686980150384</v>
      </c>
      <c r="CB20" s="42" t="s">
        <v>8</v>
      </c>
      <c r="CC20" s="42" t="s">
        <v>8</v>
      </c>
      <c r="CD20" s="39">
        <f>SUM(CD9:CD19)</f>
        <v>3338279.9148640055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0.67158686980150384</v>
      </c>
      <c r="CH20" s="42" t="s">
        <v>8</v>
      </c>
      <c r="CI20" s="42" t="s">
        <v>8</v>
      </c>
      <c r="CJ20" s="39">
        <f>SUM(CJ9:CJ19)</f>
        <v>3338279.9148640055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0.67158686980150384</v>
      </c>
      <c r="CN20" s="42" t="s">
        <v>8</v>
      </c>
      <c r="CO20" s="42" t="s">
        <v>8</v>
      </c>
      <c r="CP20" s="39">
        <f>SUM(CP9:CP19)</f>
        <v>3338279.9148640055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0.67158686980150384</v>
      </c>
      <c r="CT20" s="42" t="s">
        <v>8</v>
      </c>
      <c r="CU20" s="42" t="s">
        <v>8</v>
      </c>
      <c r="CV20" s="39">
        <f>SUM(CV9:CV19)</f>
        <v>3338279.9148640055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0.67158686980150384</v>
      </c>
      <c r="CZ20" s="42" t="s">
        <v>8</v>
      </c>
      <c r="DA20" s="42" t="s">
        <v>8</v>
      </c>
      <c r="DB20" s="39">
        <f>SUM(DB9:DB19)</f>
        <v>3338279.9148640055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0.67158686980150384</v>
      </c>
      <c r="DF20" s="42" t="s">
        <v>8</v>
      </c>
      <c r="DG20" s="42" t="s">
        <v>8</v>
      </c>
      <c r="DH20" s="39">
        <f>SUM(DH9:DH19)</f>
        <v>3338279.9148640055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0.67158686980150384</v>
      </c>
      <c r="DL20" s="42" t="s">
        <v>8</v>
      </c>
      <c r="DM20" s="42" t="s">
        <v>8</v>
      </c>
      <c r="DN20" s="39">
        <f>SUM(DN9:DN19)</f>
        <v>3338279.9148640055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0.67158686980150384</v>
      </c>
      <c r="DR20" s="42" t="s">
        <v>8</v>
      </c>
      <c r="DS20" s="42" t="s">
        <v>8</v>
      </c>
      <c r="DT20" s="39">
        <f>SUM(DT9:DT19)</f>
        <v>3338279.9148640055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0.67158686980150384</v>
      </c>
      <c r="DX20" s="42" t="s">
        <v>8</v>
      </c>
      <c r="DY20" s="42" t="s">
        <v>8</v>
      </c>
      <c r="DZ20" s="128">
        <f>SUM(DZ9:DZ19)</f>
        <v>3338279.9148640055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0.67158686980150384</v>
      </c>
      <c r="ED20" s="42" t="s">
        <v>8</v>
      </c>
      <c r="EE20" s="42" t="s">
        <v>8</v>
      </c>
      <c r="EF20" s="128">
        <f>SUM(EF9:EF19)</f>
        <v>3338279.9148640055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0.67158686980150384</v>
      </c>
      <c r="EJ20" s="42" t="s">
        <v>8</v>
      </c>
      <c r="EK20" s="42" t="s">
        <v>8</v>
      </c>
      <c r="EL20" s="128">
        <f>SUM(EL9:EL19)</f>
        <v>3338279.9148640055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0.67158686980150384</v>
      </c>
      <c r="EP20" s="42" t="s">
        <v>8</v>
      </c>
      <c r="EQ20" s="42" t="s">
        <v>8</v>
      </c>
      <c r="ER20" s="128">
        <f>SUM(ER9:ER19)</f>
        <v>3338279.9148640055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0.67158686980150384</v>
      </c>
      <c r="EV20" s="42" t="s">
        <v>8</v>
      </c>
      <c r="EW20" s="42" t="s">
        <v>8</v>
      </c>
      <c r="EX20" s="128">
        <f>SUM(EX9:EX19)</f>
        <v>3338279.9148640055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0.67158686980150384</v>
      </c>
      <c r="FB20" s="42" t="s">
        <v>8</v>
      </c>
      <c r="FC20" s="42" t="s">
        <v>8</v>
      </c>
      <c r="FD20" s="128">
        <f>SUM(FD9:FD19)</f>
        <v>3338279.9148640055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0.67158686980150384</v>
      </c>
      <c r="FH20" s="42" t="s">
        <v>8</v>
      </c>
      <c r="FI20" s="42" t="s">
        <v>8</v>
      </c>
      <c r="FJ20" s="128">
        <f>SUM(FJ9:FJ19)</f>
        <v>3338279.9148640055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0.67158686980150384</v>
      </c>
      <c r="FN20" s="42" t="s">
        <v>8</v>
      </c>
      <c r="FO20" s="42" t="s">
        <v>8</v>
      </c>
      <c r="FP20" s="128">
        <f>SUM(FP9:FP19)</f>
        <v>3338279.9148640055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0.67158686980150384</v>
      </c>
      <c r="FT20" s="42" t="s">
        <v>8</v>
      </c>
      <c r="FU20" s="42" t="s">
        <v>8</v>
      </c>
      <c r="FV20" s="128">
        <f>SUM(FV9:FV19)</f>
        <v>3338279.9148640055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0.67158686980150384</v>
      </c>
      <c r="FZ20" s="42" t="s">
        <v>8</v>
      </c>
      <c r="GA20" s="42" t="s">
        <v>8</v>
      </c>
      <c r="GB20" s="128">
        <f>SUM(GB9:GB19)</f>
        <v>3338279.9148640055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0.67158686980150384</v>
      </c>
      <c r="GF20" s="42" t="s">
        <v>8</v>
      </c>
      <c r="GG20" s="42" t="s">
        <v>8</v>
      </c>
      <c r="GH20" s="128">
        <f>SUM(GH9:GH19)</f>
        <v>3338279.9148640055</v>
      </c>
      <c r="GI20" s="39">
        <f>SUM(GI9:GI19)</f>
        <v>0</v>
      </c>
      <c r="GJ20" s="150">
        <f>SUM(GJ9:GJ19)</f>
        <v>13498714.32</v>
      </c>
      <c r="GK20" s="322">
        <f t="shared" si="222"/>
        <v>14833752</v>
      </c>
      <c r="GL20" s="197" t="s">
        <v>8</v>
      </c>
      <c r="GM20" s="238">
        <f>GM9+GM10+GM11+GM12+GM13+GM14+GM15+GM16+GM17+GM18+GM19</f>
        <v>14833751.999999998</v>
      </c>
      <c r="GN20" s="244"/>
      <c r="GO20" s="22"/>
    </row>
    <row r="21" spans="1:197" x14ac:dyDescent="0.2">
      <c r="GK21" s="116">
        <f>B20-GK20</f>
        <v>0</v>
      </c>
    </row>
    <row r="22" spans="1:197" x14ac:dyDescent="0.2">
      <c r="B22" s="116"/>
      <c r="P22" s="21"/>
    </row>
    <row r="23" spans="1:197" x14ac:dyDescent="0.2">
      <c r="K23" s="246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GJ3:GJ5"/>
    <mergeCell ref="GL3:GL5"/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0" t="s">
        <v>72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1" s="4" customFormat="1" ht="16.5" x14ac:dyDescent="0.2">
      <c r="B3" s="253"/>
      <c r="C3" s="253"/>
      <c r="D3" s="253"/>
      <c r="E3" s="253"/>
      <c r="F3" s="253"/>
      <c r="G3" s="253"/>
      <c r="H3" s="253"/>
      <c r="I3" s="253"/>
      <c r="J3" s="253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67" t="s">
        <v>0</v>
      </c>
      <c r="B5" s="254" t="s">
        <v>7</v>
      </c>
      <c r="C5" s="257" t="s">
        <v>56</v>
      </c>
      <c r="D5" s="319"/>
      <c r="E5" s="319"/>
      <c r="F5" s="319"/>
      <c r="G5" s="258"/>
      <c r="H5" s="258"/>
      <c r="I5" s="258"/>
      <c r="J5" s="258"/>
      <c r="K5" s="259"/>
    </row>
    <row r="6" spans="1:11" s="7" customFormat="1" ht="51.6" customHeight="1" x14ac:dyDescent="0.2">
      <c r="A6" s="268"/>
      <c r="B6" s="255"/>
      <c r="C6" s="85" t="s">
        <v>188</v>
      </c>
      <c r="D6" s="85"/>
      <c r="E6" s="85"/>
      <c r="F6" s="85"/>
      <c r="G6" s="85" t="s">
        <v>62</v>
      </c>
      <c r="H6" s="261" t="s">
        <v>70</v>
      </c>
      <c r="I6" s="262"/>
      <c r="J6" s="262"/>
      <c r="K6" s="263"/>
    </row>
    <row r="7" spans="1:11" s="7" customFormat="1" ht="24" customHeight="1" thickBot="1" x14ac:dyDescent="0.25">
      <c r="A7" s="268"/>
      <c r="B7" s="255"/>
      <c r="C7" s="159" t="s">
        <v>199</v>
      </c>
      <c r="D7" s="159"/>
      <c r="E7" s="159"/>
      <c r="F7" s="159"/>
      <c r="G7" s="160" t="s">
        <v>200</v>
      </c>
      <c r="H7" s="264"/>
      <c r="I7" s="265"/>
      <c r="J7" s="265"/>
      <c r="K7" s="266"/>
    </row>
    <row r="8" spans="1:11" s="7" customFormat="1" ht="86.25" customHeight="1" thickBot="1" x14ac:dyDescent="0.25">
      <c r="A8" s="268"/>
      <c r="B8" s="256"/>
      <c r="C8" s="158" t="s">
        <v>1</v>
      </c>
      <c r="D8" s="158"/>
      <c r="E8" s="158"/>
      <c r="F8" s="158"/>
      <c r="G8" s="158" t="s">
        <v>2</v>
      </c>
      <c r="H8" s="156" t="s">
        <v>201</v>
      </c>
      <c r="I8" s="157" t="s">
        <v>202</v>
      </c>
      <c r="J8" s="86" t="s">
        <v>203</v>
      </c>
      <c r="K8" s="162" t="s">
        <v>204</v>
      </c>
    </row>
    <row r="9" spans="1:11" s="8" customFormat="1" thickBot="1" x14ac:dyDescent="0.25">
      <c r="A9" s="269"/>
      <c r="B9" s="93" t="s">
        <v>3</v>
      </c>
      <c r="C9" s="173" t="s">
        <v>5</v>
      </c>
      <c r="D9" s="93"/>
      <c r="E9" s="93"/>
      <c r="F9" s="93"/>
      <c r="G9" s="93" t="s">
        <v>4</v>
      </c>
      <c r="H9" s="189" t="s">
        <v>184</v>
      </c>
      <c r="I9" s="189" t="s">
        <v>185</v>
      </c>
      <c r="J9" s="190" t="s">
        <v>186</v>
      </c>
      <c r="K9" s="153" t="s">
        <v>187</v>
      </c>
    </row>
    <row r="10" spans="1:11" s="8" customFormat="1" thickBot="1" x14ac:dyDescent="0.25">
      <c r="A10" s="34">
        <v>1</v>
      </c>
      <c r="B10" s="152">
        <v>2</v>
      </c>
      <c r="C10" s="211">
        <v>3</v>
      </c>
      <c r="D10" s="211"/>
      <c r="E10" s="215"/>
      <c r="F10" s="211"/>
      <c r="G10" s="187">
        <v>4</v>
      </c>
      <c r="H10" s="173">
        <v>5</v>
      </c>
      <c r="I10" s="173">
        <v>6</v>
      </c>
      <c r="J10" s="191">
        <v>7</v>
      </c>
      <c r="K10" s="173">
        <v>8</v>
      </c>
    </row>
    <row r="11" spans="1:11" x14ac:dyDescent="0.25">
      <c r="A11" s="164">
        <v>1</v>
      </c>
      <c r="B11" s="203" t="s">
        <v>173</v>
      </c>
      <c r="C11" s="212">
        <v>106</v>
      </c>
      <c r="D11" s="213">
        <v>111</v>
      </c>
      <c r="E11" s="221">
        <f>C11-D11</f>
        <v>-5</v>
      </c>
      <c r="F11" s="217">
        <f>(C11/D11*100)-100</f>
        <v>-4.5045045045044958</v>
      </c>
      <c r="G11" s="209">
        <v>54081.49</v>
      </c>
      <c r="H11" s="174">
        <v>2</v>
      </c>
      <c r="I11" s="174">
        <v>312.3</v>
      </c>
      <c r="J11" s="182">
        <v>44</v>
      </c>
      <c r="K11" s="193">
        <f>C11/I11</f>
        <v>0.3394172270252962</v>
      </c>
    </row>
    <row r="12" spans="1:11" x14ac:dyDescent="0.25">
      <c r="A12" s="165">
        <v>2</v>
      </c>
      <c r="B12" s="207" t="s">
        <v>174</v>
      </c>
      <c r="C12" s="212">
        <v>477</v>
      </c>
      <c r="D12" s="214">
        <v>571</v>
      </c>
      <c r="E12" s="222">
        <f t="shared" ref="E12:E21" si="0">C12-D12</f>
        <v>-94</v>
      </c>
      <c r="F12" s="218">
        <f t="shared" ref="F12:F21" si="1">(C12/D12*100)-100</f>
        <v>-16.462346760070062</v>
      </c>
      <c r="G12" s="210">
        <v>266555.03000000003</v>
      </c>
      <c r="H12" s="123">
        <v>5</v>
      </c>
      <c r="I12" s="123">
        <v>366.5</v>
      </c>
      <c r="J12" s="171">
        <v>7</v>
      </c>
      <c r="K12" s="176">
        <f t="shared" ref="K12:K21" si="2">C12/I12</f>
        <v>1.3015006821282402</v>
      </c>
    </row>
    <row r="13" spans="1:11" x14ac:dyDescent="0.25">
      <c r="A13" s="165">
        <v>3</v>
      </c>
      <c r="B13" s="207" t="s">
        <v>175</v>
      </c>
      <c r="C13" s="212">
        <v>365</v>
      </c>
      <c r="D13" s="214">
        <v>436</v>
      </c>
      <c r="E13" s="222">
        <f t="shared" si="0"/>
        <v>-71</v>
      </c>
      <c r="F13" s="218">
        <f t="shared" si="1"/>
        <v>-16.284403669724767</v>
      </c>
      <c r="G13" s="210">
        <v>180465.11</v>
      </c>
      <c r="H13" s="123">
        <v>3</v>
      </c>
      <c r="I13" s="123">
        <v>772.6</v>
      </c>
      <c r="J13" s="171">
        <v>12</v>
      </c>
      <c r="K13" s="176">
        <f t="shared" si="2"/>
        <v>0.47243075330054363</v>
      </c>
    </row>
    <row r="14" spans="1:11" x14ac:dyDescent="0.25">
      <c r="A14" s="165">
        <v>4</v>
      </c>
      <c r="B14" s="207" t="s">
        <v>176</v>
      </c>
      <c r="C14" s="212">
        <v>124</v>
      </c>
      <c r="D14" s="214">
        <v>169</v>
      </c>
      <c r="E14" s="222">
        <f t="shared" si="0"/>
        <v>-45</v>
      </c>
      <c r="F14" s="218">
        <f t="shared" si="1"/>
        <v>-26.627218934911241</v>
      </c>
      <c r="G14" s="210">
        <v>97725.119999999995</v>
      </c>
      <c r="H14" s="123">
        <v>2</v>
      </c>
      <c r="I14" s="123">
        <v>423.3</v>
      </c>
      <c r="J14" s="171">
        <v>56</v>
      </c>
      <c r="K14" s="176">
        <f t="shared" si="2"/>
        <v>0.29293645168910937</v>
      </c>
    </row>
    <row r="15" spans="1:11" x14ac:dyDescent="0.25">
      <c r="A15" s="165">
        <v>5</v>
      </c>
      <c r="B15" s="207" t="s">
        <v>177</v>
      </c>
      <c r="C15" s="212">
        <v>816</v>
      </c>
      <c r="D15" s="214">
        <v>967</v>
      </c>
      <c r="E15" s="222">
        <f t="shared" si="0"/>
        <v>-151</v>
      </c>
      <c r="F15" s="218">
        <f t="shared" si="1"/>
        <v>-15.615305067218202</v>
      </c>
      <c r="G15" s="210">
        <v>358572.92</v>
      </c>
      <c r="H15" s="123">
        <v>2</v>
      </c>
      <c r="I15" s="123">
        <v>813.5</v>
      </c>
      <c r="J15" s="171">
        <v>29</v>
      </c>
      <c r="K15" s="176">
        <f t="shared" si="2"/>
        <v>1.0030731407498463</v>
      </c>
    </row>
    <row r="16" spans="1:11" x14ac:dyDescent="0.25">
      <c r="A16" s="165">
        <v>6</v>
      </c>
      <c r="B16" s="207" t="s">
        <v>178</v>
      </c>
      <c r="C16" s="212">
        <v>371</v>
      </c>
      <c r="D16" s="214">
        <v>452</v>
      </c>
      <c r="E16" s="222">
        <f t="shared" si="0"/>
        <v>-81</v>
      </c>
      <c r="F16" s="218">
        <f t="shared" si="1"/>
        <v>-17.920353982300881</v>
      </c>
      <c r="G16" s="210">
        <v>149287.67000000001</v>
      </c>
      <c r="H16" s="123">
        <v>3</v>
      </c>
      <c r="I16" s="123">
        <v>301.7</v>
      </c>
      <c r="J16" s="171">
        <v>17</v>
      </c>
      <c r="K16" s="176">
        <f t="shared" si="2"/>
        <v>1.2296983758700697</v>
      </c>
    </row>
    <row r="17" spans="1:11" x14ac:dyDescent="0.25">
      <c r="A17" s="165">
        <v>7</v>
      </c>
      <c r="B17" s="207" t="s">
        <v>179</v>
      </c>
      <c r="C17" s="212">
        <v>327</v>
      </c>
      <c r="D17" s="214">
        <v>386</v>
      </c>
      <c r="E17" s="222">
        <f t="shared" si="0"/>
        <v>-59</v>
      </c>
      <c r="F17" s="218">
        <f t="shared" si="1"/>
        <v>-15.284974093264253</v>
      </c>
      <c r="G17" s="210">
        <v>150369.56</v>
      </c>
      <c r="H17" s="123">
        <v>4</v>
      </c>
      <c r="I17" s="123">
        <v>625.1</v>
      </c>
      <c r="J17" s="171">
        <v>19</v>
      </c>
      <c r="K17" s="176">
        <f t="shared" si="2"/>
        <v>0.52311630139177734</v>
      </c>
    </row>
    <row r="18" spans="1:11" x14ac:dyDescent="0.25">
      <c r="A18" s="166">
        <v>8</v>
      </c>
      <c r="B18" s="208" t="s">
        <v>180</v>
      </c>
      <c r="C18" s="212">
        <v>299</v>
      </c>
      <c r="D18" s="214">
        <v>377</v>
      </c>
      <c r="E18" s="222">
        <f t="shared" si="0"/>
        <v>-78</v>
      </c>
      <c r="F18" s="218">
        <f t="shared" si="1"/>
        <v>-20.689655172413794</v>
      </c>
      <c r="G18" s="210">
        <v>180859.16</v>
      </c>
      <c r="H18" s="123">
        <v>4</v>
      </c>
      <c r="I18" s="123">
        <v>359.3</v>
      </c>
      <c r="J18" s="171">
        <v>47</v>
      </c>
      <c r="K18" s="176">
        <f t="shared" si="2"/>
        <v>0.83217367102699691</v>
      </c>
    </row>
    <row r="19" spans="1:11" x14ac:dyDescent="0.25">
      <c r="A19" s="165">
        <v>9</v>
      </c>
      <c r="B19" s="208" t="s">
        <v>181</v>
      </c>
      <c r="C19" s="212">
        <v>40</v>
      </c>
      <c r="D19" s="214">
        <v>73</v>
      </c>
      <c r="E19" s="222">
        <f t="shared" si="0"/>
        <v>-33</v>
      </c>
      <c r="F19" s="218">
        <f t="shared" si="1"/>
        <v>-45.205479452054796</v>
      </c>
      <c r="G19" s="210">
        <v>44198.06</v>
      </c>
      <c r="H19" s="123">
        <v>4</v>
      </c>
      <c r="I19" s="123">
        <v>647.4</v>
      </c>
      <c r="J19" s="171">
        <v>64</v>
      </c>
      <c r="K19" s="176">
        <f t="shared" si="2"/>
        <v>6.1785603954278658E-2</v>
      </c>
    </row>
    <row r="20" spans="1:11" ht="18" customHeight="1" x14ac:dyDescent="0.25">
      <c r="A20" s="165">
        <v>10</v>
      </c>
      <c r="B20" s="208" t="s">
        <v>182</v>
      </c>
      <c r="C20" s="212">
        <v>5139</v>
      </c>
      <c r="D20" s="214">
        <v>5675</v>
      </c>
      <c r="E20" s="222">
        <f t="shared" si="0"/>
        <v>-536</v>
      </c>
      <c r="F20" s="218">
        <f t="shared" si="1"/>
        <v>-9.4449339207048411</v>
      </c>
      <c r="G20" s="210">
        <v>4073600.96</v>
      </c>
      <c r="H20" s="123">
        <v>3</v>
      </c>
      <c r="I20" s="123">
        <v>155.9</v>
      </c>
      <c r="J20" s="171">
        <v>0</v>
      </c>
      <c r="K20" s="176">
        <f t="shared" si="2"/>
        <v>32.963438101347016</v>
      </c>
    </row>
    <row r="21" spans="1:11" ht="16.5" thickBot="1" x14ac:dyDescent="0.3">
      <c r="A21" s="166">
        <v>11</v>
      </c>
      <c r="B21" s="208" t="s">
        <v>183</v>
      </c>
      <c r="C21" s="212">
        <v>221</v>
      </c>
      <c r="D21" s="219">
        <v>264</v>
      </c>
      <c r="E21" s="223">
        <f t="shared" si="0"/>
        <v>-43</v>
      </c>
      <c r="F21" s="220">
        <f t="shared" si="1"/>
        <v>-16.287878787878782</v>
      </c>
      <c r="G21" s="210">
        <v>122706.07</v>
      </c>
      <c r="H21" s="123">
        <v>2</v>
      </c>
      <c r="I21" s="123">
        <v>443.9</v>
      </c>
      <c r="J21" s="171">
        <v>40</v>
      </c>
      <c r="K21" s="176">
        <f t="shared" si="2"/>
        <v>0.49785987835098</v>
      </c>
    </row>
    <row r="22" spans="1:11" ht="12.75" customHeight="1" x14ac:dyDescent="0.25">
      <c r="A22" s="167">
        <v>12</v>
      </c>
      <c r="B22" s="169"/>
      <c r="C22" s="163"/>
      <c r="D22" s="216"/>
      <c r="E22" s="216"/>
      <c r="F22" s="216"/>
      <c r="G22" s="172"/>
      <c r="H22" s="123"/>
      <c r="I22" s="123"/>
      <c r="J22" s="171"/>
      <c r="K22" s="177"/>
    </row>
    <row r="23" spans="1:11" ht="12.75" customHeight="1" x14ac:dyDescent="0.25">
      <c r="A23" s="167">
        <v>13</v>
      </c>
      <c r="B23" s="169"/>
      <c r="C23" s="163"/>
      <c r="D23" s="163"/>
      <c r="E23" s="163"/>
      <c r="F23" s="163"/>
      <c r="G23" s="123"/>
      <c r="H23" s="123"/>
      <c r="I23" s="123"/>
      <c r="J23" s="171"/>
      <c r="K23" s="177"/>
    </row>
    <row r="24" spans="1:11" ht="12.75" customHeight="1" thickBot="1" x14ac:dyDescent="0.25">
      <c r="A24" s="168">
        <v>14</v>
      </c>
      <c r="B24" s="170"/>
      <c r="C24" s="185"/>
      <c r="D24" s="185"/>
      <c r="E24" s="185"/>
      <c r="F24" s="185"/>
      <c r="G24" s="124"/>
      <c r="H24" s="175"/>
      <c r="I24" s="180"/>
      <c r="J24" s="183"/>
      <c r="K24" s="178"/>
    </row>
    <row r="25" spans="1:11" ht="16.5" thickBot="1" x14ac:dyDescent="0.25">
      <c r="A25" s="19"/>
      <c r="B25" s="161" t="s">
        <v>6</v>
      </c>
      <c r="C25" s="186">
        <f t="shared" ref="C25:K25" si="3">SUM(C11:C24)</f>
        <v>8285</v>
      </c>
      <c r="D25" s="186">
        <f>D11+D12+D13+D14+D15+D16+D17+D18+D19+D20+D21</f>
        <v>9481</v>
      </c>
      <c r="E25" s="186"/>
      <c r="F25" s="186"/>
      <c r="G25" s="188">
        <f t="shared" si="3"/>
        <v>5678421.1500000004</v>
      </c>
      <c r="H25" s="181">
        <f t="shared" si="3"/>
        <v>34</v>
      </c>
      <c r="I25" s="181">
        <f t="shared" si="3"/>
        <v>5221.4999999999991</v>
      </c>
      <c r="J25" s="184">
        <f t="shared" si="3"/>
        <v>335</v>
      </c>
      <c r="K25" s="179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SIDOROVASA</cp:lastModifiedBy>
  <cp:lastPrinted>2024-10-09T08:52:06Z</cp:lastPrinted>
  <dcterms:created xsi:type="dcterms:W3CDTF">2013-11-15T09:40:24Z</dcterms:created>
  <dcterms:modified xsi:type="dcterms:W3CDTF">2024-10-10T03:24:44Z</dcterms:modified>
</cp:coreProperties>
</file>